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ntdoc0015\DivisionFiles2\hous\BOH\BOHSHARE\MultiFamily\01.01_Operations\Website\Web doc on Comms new logo 11.6.24\"/>
    </mc:Choice>
  </mc:AlternateContent>
  <xr:revisionPtr revIDLastSave="0" documentId="13_ncr:1_{48C3E0C9-2092-4B12-8D41-55B71600774D}" xr6:coauthVersionLast="47" xr6:coauthVersionMax="47" xr10:uidLastSave="{00000000-0000-0000-0000-000000000000}"/>
  <bookViews>
    <workbookView xWindow="31050" yWindow="2160" windowWidth="23250" windowHeight="12570" tabRatio="706" xr2:uid="{00000000-000D-0000-FFFF-FFFF00000000}"/>
  </bookViews>
  <sheets>
    <sheet name="HC All" sheetId="1" r:id="rId1"/>
  </sheets>
  <definedNames>
    <definedName name="__UNITS_TC">'HC All'!$AU$79</definedName>
    <definedName name="_1_BEDROOM">'HC All'!$AX$79</definedName>
    <definedName name="_2_BEDROOM">'HC All'!$AY$79</definedName>
    <definedName name="_3_BEDROOM">'HC All'!$AZ$79</definedName>
    <definedName name="_4_BEDROOM">'HC All'!$BA$79</definedName>
    <definedName name="_Fill" hidden="1">'HC All'!#REF!</definedName>
    <definedName name="_xlnm._FilterDatabase" localSheetId="0" hidden="1">'HC All'!$A$1:$BQ$562</definedName>
    <definedName name="_Key1" hidden="1">'HC All'!#REF!</definedName>
    <definedName name="_Key2" hidden="1">'HC All'!#REF!</definedName>
    <definedName name="_Order1" hidden="1">255</definedName>
    <definedName name="_Order2" hidden="1">255</definedName>
    <definedName name="_Sort" hidden="1">'HC All'!$A$124:$BE$138</definedName>
    <definedName name="ADDRESS">'HC All'!#REF!</definedName>
    <definedName name="BIN__S">'HC All'!#REF!</definedName>
    <definedName name="CITY">'HC All'!#REF!</definedName>
    <definedName name="CITY__STATE">'HC All'!$AF$79</definedName>
    <definedName name="COMPLIANCE_DB">'HC All'!$D$1:$BE$123</definedName>
    <definedName name="CONT">'HC All'!#REF!</definedName>
    <definedName name="COUNTY">'HC All'!#REF!</definedName>
    <definedName name="MONITORING_STAT">'HC All'!#REF!</definedName>
    <definedName name="MORE">'HC All'!#REF!</definedName>
    <definedName name="MORE2">'HC All'!#REF!</definedName>
    <definedName name="OTHER_PROGRAMS">'HC All'!#REF!</definedName>
    <definedName name="OWNER">'HC All'!$AC$79</definedName>
    <definedName name="OWNER_TAX_ID_">'HC All'!#REF!</definedName>
    <definedName name="PHONE">'HC All'!$AJ$79</definedName>
    <definedName name="PIS">#REF!</definedName>
    <definedName name="PRE_1990">'HC All'!#REF!</definedName>
    <definedName name="_xlnm.Print_Area" localSheetId="0">'HC All'!$A$79:$BE$288</definedName>
    <definedName name="Print_Titles_MI" localSheetId="0">'HC All'!$1:$1</definedName>
    <definedName name="PROJECT_NAME">'HC All'!#REF!</definedName>
    <definedName name="R_C_CONDITIONS">'HC All'!#REF!</definedName>
    <definedName name="STREET">'HC All'!$AE$79</definedName>
    <definedName name="UNIT_TYPE_STUDI">'HC All'!$AW$79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T3" i="1" l="1"/>
  <c r="BS3" i="1"/>
  <c r="BQ3" i="1"/>
  <c r="BP3" i="1"/>
  <c r="Y26" i="1"/>
  <c r="Z26" i="1" s="1"/>
  <c r="AB26" i="1" s="1"/>
  <c r="Y27" i="1"/>
  <c r="Z27" i="1" s="1"/>
  <c r="AB27" i="1" s="1"/>
  <c r="Y28" i="1"/>
  <c r="Z28" i="1" s="1"/>
  <c r="AB28" i="1" s="1"/>
  <c r="Y29" i="1"/>
  <c r="Z29" i="1" s="1"/>
  <c r="AB29" i="1" s="1"/>
  <c r="Y30" i="1"/>
  <c r="Z30" i="1" s="1"/>
  <c r="AB30" i="1" s="1"/>
  <c r="Y31" i="1"/>
  <c r="Z31" i="1" s="1"/>
  <c r="AB31" i="1" s="1"/>
  <c r="Y32" i="1"/>
  <c r="Z32" i="1" s="1"/>
  <c r="AB32" i="1" s="1"/>
  <c r="BS12" i="1" l="1"/>
  <c r="BT12" i="1"/>
  <c r="BP12" i="1"/>
  <c r="BQ12" i="1"/>
  <c r="BP13" i="1"/>
  <c r="BQ13" i="1"/>
  <c r="AU12" i="1"/>
  <c r="BK9" i="1" l="1"/>
  <c r="AU8" i="1" l="1"/>
  <c r="BJ6" i="1" l="1"/>
  <c r="BP6" i="1" s="1"/>
  <c r="AY6" i="1"/>
  <c r="AU6" i="1" s="1"/>
  <c r="BT11" i="1"/>
  <c r="BS11" i="1"/>
  <c r="BT10" i="1"/>
  <c r="BS10" i="1"/>
  <c r="BT9" i="1"/>
  <c r="BS9" i="1"/>
  <c r="BT8" i="1"/>
  <c r="BS8" i="1"/>
  <c r="BT7" i="1"/>
  <c r="BS7" i="1"/>
  <c r="BT6" i="1"/>
  <c r="BS6" i="1"/>
  <c r="BT5" i="1"/>
  <c r="BS5" i="1"/>
  <c r="BT4" i="1"/>
  <c r="BS4" i="1"/>
  <c r="BQ11" i="1"/>
  <c r="BQ10" i="1"/>
  <c r="BQ9" i="1"/>
  <c r="BQ8" i="1"/>
  <c r="BQ7" i="1"/>
  <c r="BQ5" i="1"/>
  <c r="BQ4" i="1"/>
  <c r="BP11" i="1"/>
  <c r="BP10" i="1"/>
  <c r="BP9" i="1"/>
  <c r="BP8" i="1"/>
  <c r="BP7" i="1"/>
  <c r="BP5" i="1"/>
  <c r="BP4" i="1"/>
  <c r="AY5" i="1"/>
  <c r="AU5" i="1" s="1"/>
  <c r="AU9" i="1"/>
  <c r="AU4" i="1"/>
  <c r="BQ6" i="1" l="1"/>
  <c r="AU79" i="1"/>
  <c r="BQ79" i="1" l="1"/>
  <c r="BP79" i="1"/>
  <c r="AU83" i="1"/>
  <c r="BP83" i="1"/>
  <c r="BQ83" i="1"/>
  <c r="O9" i="1"/>
  <c r="AX60" i="1" l="1"/>
  <c r="AT31" i="1" l="1"/>
  <c r="BT39" i="1" l="1"/>
  <c r="BS39" i="1"/>
  <c r="BS40" i="1"/>
  <c r="BT47" i="1" l="1"/>
  <c r="BS47" i="1"/>
  <c r="AU47" i="1" l="1"/>
  <c r="BQ47" i="1" l="1"/>
  <c r="BS22" i="1" l="1"/>
  <c r="BT22" i="1"/>
  <c r="BT26" i="1" l="1"/>
  <c r="BS26" i="1"/>
  <c r="BP26" i="1"/>
  <c r="BQ26" i="1" l="1"/>
  <c r="AU27" i="1"/>
  <c r="BT27" i="1" l="1"/>
  <c r="BS27" i="1"/>
  <c r="BT14" i="1"/>
  <c r="BS14" i="1"/>
  <c r="BT24" i="1"/>
  <c r="BS24" i="1"/>
  <c r="BT23" i="1"/>
  <c r="BS23" i="1"/>
  <c r="BT13" i="1"/>
  <c r="BS13" i="1"/>
  <c r="BQ23" i="1" l="1"/>
  <c r="BQ24" i="1"/>
  <c r="BQ14" i="1"/>
  <c r="BQ25" i="1"/>
  <c r="BQ27" i="1"/>
  <c r="BP23" i="1"/>
  <c r="BP24" i="1"/>
  <c r="BP14" i="1"/>
  <c r="AU26" i="1"/>
  <c r="AU23" i="1"/>
  <c r="AU24" i="1"/>
  <c r="BK562" i="1" l="1"/>
  <c r="BJ562" i="1"/>
  <c r="BH562" i="1"/>
  <c r="BQ18" i="1" l="1"/>
  <c r="BP18" i="1"/>
  <c r="BK560" i="1" l="1"/>
  <c r="BJ560" i="1"/>
  <c r="BI560" i="1"/>
  <c r="BT21" i="1"/>
  <c r="BS21" i="1"/>
  <c r="BT562" i="1"/>
  <c r="BS562" i="1"/>
  <c r="BT20" i="1"/>
  <c r="BS20" i="1"/>
  <c r="BT19" i="1"/>
  <c r="BS19" i="1"/>
  <c r="BT18" i="1"/>
  <c r="BS18" i="1"/>
  <c r="BT17" i="1"/>
  <c r="BS17" i="1"/>
  <c r="BT16" i="1"/>
  <c r="BS16" i="1"/>
  <c r="BT561" i="1"/>
  <c r="BS561" i="1"/>
  <c r="BT560" i="1"/>
  <c r="BS560" i="1"/>
  <c r="BT15" i="1"/>
  <c r="BS15" i="1"/>
  <c r="S30" i="1" l="1"/>
  <c r="S29" i="1"/>
  <c r="S28" i="1"/>
  <c r="AU13" i="1"/>
  <c r="BP25" i="1" l="1"/>
  <c r="AU14" i="1" l="1"/>
  <c r="BQ21" i="1" l="1"/>
  <c r="BQ17" i="1"/>
  <c r="BQ16" i="1"/>
  <c r="BQ561" i="1"/>
  <c r="BQ560" i="1"/>
  <c r="BQ15" i="1"/>
  <c r="BQ20" i="1"/>
  <c r="BQ562" i="1"/>
  <c r="BQ19" i="1"/>
  <c r="BQ559" i="1"/>
  <c r="BP21" i="1"/>
  <c r="BP17" i="1"/>
  <c r="BP16" i="1"/>
  <c r="BP561" i="1"/>
  <c r="BP560" i="1"/>
  <c r="BP15" i="1"/>
  <c r="BP20" i="1"/>
  <c r="BP562" i="1"/>
  <c r="BP19" i="1"/>
  <c r="BP559" i="1"/>
  <c r="AU559" i="1"/>
  <c r="AU18" i="1"/>
  <c r="AU19" i="1"/>
  <c r="AU562" i="1"/>
  <c r="AU20" i="1"/>
  <c r="AU15" i="1"/>
  <c r="AU560" i="1"/>
  <c r="AU561" i="1"/>
  <c r="AU16" i="1"/>
  <c r="AU17" i="1"/>
  <c r="AU21" i="1"/>
  <c r="BR30" i="1" l="1"/>
  <c r="BR29" i="1"/>
  <c r="BR28" i="1"/>
  <c r="BS28" i="1" l="1"/>
  <c r="BT28" i="1"/>
  <c r="BS29" i="1"/>
  <c r="BT29" i="1"/>
  <c r="BS30" i="1"/>
  <c r="BT30" i="1"/>
  <c r="BP28" i="1"/>
  <c r="BQ28" i="1"/>
  <c r="BP29" i="1"/>
  <c r="BQ29" i="1"/>
  <c r="BP30" i="1"/>
  <c r="BQ30" i="1"/>
  <c r="T30" i="1"/>
  <c r="T29" i="1"/>
  <c r="T28" i="1"/>
  <c r="R30" i="1"/>
  <c r="R29" i="1"/>
  <c r="R28" i="1"/>
  <c r="Q30" i="1"/>
  <c r="Q29" i="1"/>
  <c r="Q28" i="1"/>
  <c r="BP31" i="1" l="1"/>
  <c r="BQ31" i="1"/>
  <c r="AU31" i="1"/>
  <c r="BT31" i="1" l="1"/>
  <c r="BS31" i="1"/>
  <c r="T71" i="1" l="1"/>
  <c r="T70" i="1"/>
  <c r="T69" i="1"/>
  <c r="S71" i="1"/>
  <c r="S70" i="1"/>
  <c r="S69" i="1"/>
  <c r="R71" i="1"/>
  <c r="R70" i="1"/>
  <c r="R69" i="1"/>
  <c r="BQ67" i="1" l="1"/>
  <c r="BQ68" i="1"/>
  <c r="BP67" i="1"/>
  <c r="BP68" i="1"/>
  <c r="BQ85" i="1" l="1"/>
  <c r="BQ84" i="1"/>
  <c r="BP85" i="1"/>
  <c r="AZ85" i="1"/>
  <c r="AY85" i="1"/>
  <c r="AU85" i="1" l="1"/>
  <c r="BP84" i="1" l="1"/>
  <c r="AU84" i="1"/>
  <c r="AU77" i="1"/>
  <c r="AU76" i="1"/>
  <c r="AU75" i="1"/>
  <c r="AU74" i="1"/>
  <c r="AU73" i="1"/>
  <c r="AU72" i="1"/>
  <c r="AU71" i="1"/>
  <c r="AU70" i="1"/>
  <c r="AU69" i="1"/>
  <c r="AU68" i="1"/>
  <c r="BP32" i="1" l="1"/>
  <c r="BQ32" i="1"/>
  <c r="BP39" i="1"/>
  <c r="BQ39" i="1"/>
  <c r="AU32" i="1"/>
  <c r="BT32" i="1"/>
  <c r="BS32" i="1"/>
  <c r="AU33" i="1"/>
  <c r="BT37" i="1" l="1"/>
  <c r="BS37" i="1"/>
  <c r="BQ37" i="1"/>
  <c r="BP37" i="1"/>
  <c r="AU37" i="1"/>
  <c r="BQ38" i="1" l="1"/>
  <c r="BQ558" i="1"/>
  <c r="BQ36" i="1"/>
  <c r="BQ35" i="1"/>
  <c r="BQ34" i="1"/>
  <c r="BQ33" i="1"/>
  <c r="BP38" i="1"/>
  <c r="BP558" i="1"/>
  <c r="BP36" i="1"/>
  <c r="BP35" i="1"/>
  <c r="BP34" i="1"/>
  <c r="BP33" i="1"/>
  <c r="AU34" i="1"/>
  <c r="AU35" i="1"/>
  <c r="AU36" i="1"/>
  <c r="AU558" i="1"/>
  <c r="AU38" i="1"/>
  <c r="BS34" i="1" l="1"/>
  <c r="BT34" i="1"/>
  <c r="BS35" i="1"/>
  <c r="BT35" i="1"/>
  <c r="BS557" i="1"/>
  <c r="BT557" i="1"/>
  <c r="BS36" i="1"/>
  <c r="BT36" i="1"/>
  <c r="BS558" i="1"/>
  <c r="BT558" i="1"/>
  <c r="BS38" i="1"/>
  <c r="BT38" i="1"/>
  <c r="BS556" i="1"/>
  <c r="BT556" i="1"/>
  <c r="BS551" i="1"/>
  <c r="BT551" i="1"/>
  <c r="BS552" i="1"/>
  <c r="BT552" i="1"/>
  <c r="BS553" i="1"/>
  <c r="BT553" i="1"/>
  <c r="BS554" i="1"/>
  <c r="BT554" i="1"/>
  <c r="BT33" i="1" l="1"/>
  <c r="BS33" i="1"/>
  <c r="BS41" i="1" l="1"/>
  <c r="BT41" i="1"/>
  <c r="Z73" i="1" l="1"/>
  <c r="Y347" i="1"/>
  <c r="Z347" i="1" s="1"/>
  <c r="Y346" i="1"/>
  <c r="Z346" i="1" s="1"/>
  <c r="Y345" i="1"/>
  <c r="Z345" i="1" s="1"/>
  <c r="Y344" i="1"/>
  <c r="Z344" i="1" s="1"/>
  <c r="Y343" i="1"/>
  <c r="Z343" i="1" s="1"/>
  <c r="Y342" i="1"/>
  <c r="Z342" i="1" s="1"/>
  <c r="Y341" i="1"/>
  <c r="Z341" i="1" s="1"/>
  <c r="Y340" i="1"/>
  <c r="Z340" i="1" s="1"/>
  <c r="Y339" i="1"/>
  <c r="Z339" i="1" s="1"/>
  <c r="Y338" i="1"/>
  <c r="Z338" i="1" s="1"/>
  <c r="Y337" i="1"/>
  <c r="Z337" i="1" s="1"/>
  <c r="Y336" i="1"/>
  <c r="Z336" i="1" s="1"/>
  <c r="Y335" i="1"/>
  <c r="Z335" i="1" s="1"/>
  <c r="Y334" i="1"/>
  <c r="Z334" i="1" s="1"/>
  <c r="Y333" i="1"/>
  <c r="Z333" i="1" s="1"/>
  <c r="Y332" i="1"/>
  <c r="Z332" i="1" s="1"/>
  <c r="Y331" i="1"/>
  <c r="Z331" i="1" s="1"/>
  <c r="Y330" i="1"/>
  <c r="Z330" i="1" s="1"/>
  <c r="Y329" i="1"/>
  <c r="Z329" i="1" s="1"/>
  <c r="Y328" i="1"/>
  <c r="Z328" i="1" s="1"/>
  <c r="Y327" i="1"/>
  <c r="Z327" i="1" s="1"/>
  <c r="Y326" i="1"/>
  <c r="Z326" i="1" s="1"/>
  <c r="Y325" i="1"/>
  <c r="Z325" i="1" s="1"/>
  <c r="Y324" i="1"/>
  <c r="Z324" i="1" s="1"/>
  <c r="Y323" i="1"/>
  <c r="Z323" i="1" s="1"/>
  <c r="Y322" i="1"/>
  <c r="Z322" i="1" s="1"/>
  <c r="Y321" i="1"/>
  <c r="Z321" i="1" s="1"/>
  <c r="Y320" i="1"/>
  <c r="Z320" i="1" s="1"/>
  <c r="Y319" i="1"/>
  <c r="Z319" i="1" s="1"/>
  <c r="Y318" i="1"/>
  <c r="Z318" i="1" s="1"/>
  <c r="Y317" i="1"/>
  <c r="Z317" i="1" s="1"/>
  <c r="Y316" i="1"/>
  <c r="Z316" i="1" s="1"/>
  <c r="Y315" i="1"/>
  <c r="Z315" i="1" s="1"/>
  <c r="Y314" i="1"/>
  <c r="Z314" i="1" s="1"/>
  <c r="Y313" i="1"/>
  <c r="Y312" i="1"/>
  <c r="Z312" i="1" s="1"/>
  <c r="Y311" i="1"/>
  <c r="Z311" i="1" s="1"/>
  <c r="Y310" i="1"/>
  <c r="Z310" i="1" s="1"/>
  <c r="Y309" i="1"/>
  <c r="Y308" i="1"/>
  <c r="Z308" i="1" s="1"/>
  <c r="Y307" i="1"/>
  <c r="Z307" i="1" s="1"/>
  <c r="Y306" i="1"/>
  <c r="Z306" i="1" s="1"/>
  <c r="Z305" i="1"/>
  <c r="Y304" i="1"/>
  <c r="Z304" i="1" s="1"/>
  <c r="Y303" i="1"/>
  <c r="Y302" i="1"/>
  <c r="Z302" i="1" s="1"/>
  <c r="Y301" i="1"/>
  <c r="Z301" i="1" s="1"/>
  <c r="Y300" i="1"/>
  <c r="Z300" i="1" s="1"/>
  <c r="Y299" i="1"/>
  <c r="Z299" i="1" s="1"/>
  <c r="Y298" i="1"/>
  <c r="Z298" i="1" s="1"/>
  <c r="Y297" i="1"/>
  <c r="Z297" i="1" s="1"/>
  <c r="Y296" i="1"/>
  <c r="Z296" i="1" s="1"/>
  <c r="Y295" i="1"/>
  <c r="Z295" i="1" s="1"/>
  <c r="Y294" i="1"/>
  <c r="Z294" i="1" s="1"/>
  <c r="Y293" i="1"/>
  <c r="Z293" i="1" s="1"/>
  <c r="Y292" i="1"/>
  <c r="Z292" i="1" s="1"/>
  <c r="Y291" i="1"/>
  <c r="Z291" i="1" s="1"/>
  <c r="Y290" i="1"/>
  <c r="Z290" i="1" s="1"/>
  <c r="Y289" i="1"/>
  <c r="Z289" i="1" s="1"/>
  <c r="Y288" i="1"/>
  <c r="Z288" i="1" s="1"/>
  <c r="Y287" i="1"/>
  <c r="Z287" i="1" s="1"/>
  <c r="Y286" i="1"/>
  <c r="Z286" i="1" s="1"/>
  <c r="Y285" i="1"/>
  <c r="Z285" i="1" s="1"/>
  <c r="Y284" i="1"/>
  <c r="Z284" i="1" s="1"/>
  <c r="Y283" i="1"/>
  <c r="Z283" i="1" s="1"/>
  <c r="Y282" i="1"/>
  <c r="Z282" i="1" s="1"/>
  <c r="Y281" i="1"/>
  <c r="Y280" i="1"/>
  <c r="Z280" i="1" s="1"/>
  <c r="Y279" i="1"/>
  <c r="Y278" i="1"/>
  <c r="Z278" i="1" s="1"/>
  <c r="Y277" i="1"/>
  <c r="Z277" i="1" s="1"/>
  <c r="Y276" i="1"/>
  <c r="Y275" i="1"/>
  <c r="Z275" i="1" s="1"/>
  <c r="Y274" i="1"/>
  <c r="Z274" i="1" s="1"/>
  <c r="Y273" i="1"/>
  <c r="Z273" i="1" s="1"/>
  <c r="Y272" i="1"/>
  <c r="Z272" i="1" s="1"/>
  <c r="Y271" i="1"/>
  <c r="Z271" i="1" s="1"/>
  <c r="Y270" i="1"/>
  <c r="Z270" i="1" s="1"/>
  <c r="Y269" i="1"/>
  <c r="Z269" i="1" s="1"/>
  <c r="Y268" i="1"/>
  <c r="Z268" i="1" s="1"/>
  <c r="Y267" i="1"/>
  <c r="Z267" i="1" s="1"/>
  <c r="Y266" i="1"/>
  <c r="Z266" i="1" s="1"/>
  <c r="Y265" i="1"/>
  <c r="Z265" i="1" s="1"/>
  <c r="Y264" i="1"/>
  <c r="Z264" i="1" s="1"/>
  <c r="Y263" i="1"/>
  <c r="Z263" i="1" s="1"/>
  <c r="Y262" i="1"/>
  <c r="Z262" i="1" s="1"/>
  <c r="Y261" i="1"/>
  <c r="Z261" i="1" s="1"/>
  <c r="Y260" i="1"/>
  <c r="Z260" i="1" s="1"/>
  <c r="Y259" i="1"/>
  <c r="Z259" i="1" s="1"/>
  <c r="Y258" i="1"/>
  <c r="Z258" i="1" s="1"/>
  <c r="Y257" i="1"/>
  <c r="Z257" i="1" s="1"/>
  <c r="Y256" i="1"/>
  <c r="Z256" i="1" s="1"/>
  <c r="Y255" i="1"/>
  <c r="Z255" i="1" s="1"/>
  <c r="Y254" i="1"/>
  <c r="Z254" i="1" s="1"/>
  <c r="Y253" i="1"/>
  <c r="Z253" i="1" s="1"/>
  <c r="Y252" i="1"/>
  <c r="Z252" i="1" s="1"/>
  <c r="Y251" i="1"/>
  <c r="Z251" i="1" s="1"/>
  <c r="Y250" i="1"/>
  <c r="Z250" i="1" s="1"/>
  <c r="Y249" i="1"/>
  <c r="Z249" i="1" s="1"/>
  <c r="Y248" i="1"/>
  <c r="Z248" i="1" s="1"/>
  <c r="Y247" i="1"/>
  <c r="Z247" i="1" s="1"/>
  <c r="Y246" i="1"/>
  <c r="Z246" i="1" s="1"/>
  <c r="Y245" i="1"/>
  <c r="Z245" i="1" s="1"/>
  <c r="Y244" i="1"/>
  <c r="Z244" i="1" s="1"/>
  <c r="Y243" i="1"/>
  <c r="Z243" i="1" s="1"/>
  <c r="Y242" i="1"/>
  <c r="Z242" i="1" s="1"/>
  <c r="Y241" i="1"/>
  <c r="Z241" i="1" s="1"/>
  <c r="Y240" i="1"/>
  <c r="Z240" i="1" s="1"/>
  <c r="Y239" i="1"/>
  <c r="Z239" i="1" s="1"/>
  <c r="Y238" i="1"/>
  <c r="Z238" i="1" s="1"/>
  <c r="Y237" i="1"/>
  <c r="Z237" i="1" s="1"/>
  <c r="Y236" i="1"/>
  <c r="Z236" i="1" s="1"/>
  <c r="Y235" i="1"/>
  <c r="Z235" i="1" s="1"/>
  <c r="Y234" i="1"/>
  <c r="Z234" i="1" s="1"/>
  <c r="Y233" i="1"/>
  <c r="Z233" i="1" s="1"/>
  <c r="Y232" i="1"/>
  <c r="Z232" i="1" s="1"/>
  <c r="Y231" i="1"/>
  <c r="Z231" i="1" s="1"/>
  <c r="Y230" i="1"/>
  <c r="Z230" i="1" s="1"/>
  <c r="Y229" i="1"/>
  <c r="Z229" i="1" s="1"/>
  <c r="Y228" i="1"/>
  <c r="Z228" i="1" s="1"/>
  <c r="Y227" i="1"/>
  <c r="Z227" i="1" s="1"/>
  <c r="Y226" i="1"/>
  <c r="Z226" i="1" s="1"/>
  <c r="Y225" i="1"/>
  <c r="Z225" i="1" s="1"/>
  <c r="Y224" i="1"/>
  <c r="Z224" i="1" s="1"/>
  <c r="Y223" i="1"/>
  <c r="Z223" i="1" s="1"/>
  <c r="Y222" i="1"/>
  <c r="Z222" i="1" s="1"/>
  <c r="Y221" i="1"/>
  <c r="Z221" i="1" s="1"/>
  <c r="Y220" i="1"/>
  <c r="Z220" i="1" s="1"/>
  <c r="Y219" i="1"/>
  <c r="Z219" i="1" s="1"/>
  <c r="Y218" i="1"/>
  <c r="Z218" i="1" s="1"/>
  <c r="Y217" i="1"/>
  <c r="Z217" i="1" s="1"/>
  <c r="Y216" i="1"/>
  <c r="Z216" i="1" s="1"/>
  <c r="Y215" i="1"/>
  <c r="Z215" i="1" s="1"/>
  <c r="Y214" i="1"/>
  <c r="Z214" i="1" s="1"/>
  <c r="Y213" i="1"/>
  <c r="Z213" i="1" s="1"/>
  <c r="Y212" i="1"/>
  <c r="Z212" i="1" s="1"/>
  <c r="Y211" i="1"/>
  <c r="Z211" i="1" s="1"/>
  <c r="Y210" i="1"/>
  <c r="Z210" i="1" s="1"/>
  <c r="Y209" i="1"/>
  <c r="Z209" i="1" s="1"/>
  <c r="Y208" i="1"/>
  <c r="Z208" i="1" s="1"/>
  <c r="Y207" i="1"/>
  <c r="Z207" i="1" s="1"/>
  <c r="Y206" i="1"/>
  <c r="Z206" i="1" s="1"/>
  <c r="Y205" i="1"/>
  <c r="Z205" i="1" s="1"/>
  <c r="Y204" i="1"/>
  <c r="Z204" i="1" s="1"/>
  <c r="Y203" i="1"/>
  <c r="Z203" i="1" s="1"/>
  <c r="Y202" i="1"/>
  <c r="Z202" i="1" s="1"/>
  <c r="Y201" i="1"/>
  <c r="Z201" i="1" s="1"/>
  <c r="Y200" i="1"/>
  <c r="Z200" i="1" s="1"/>
  <c r="Y199" i="1"/>
  <c r="Y198" i="1"/>
  <c r="Z198" i="1" s="1"/>
  <c r="Y197" i="1"/>
  <c r="Z197" i="1" s="1"/>
  <c r="Y196" i="1"/>
  <c r="Z196" i="1" s="1"/>
  <c r="Y195" i="1"/>
  <c r="Z195" i="1" s="1"/>
  <c r="Y194" i="1"/>
  <c r="Y193" i="1"/>
  <c r="Y192" i="1"/>
  <c r="Z192" i="1" s="1"/>
  <c r="Y191" i="1"/>
  <c r="Z191" i="1" s="1"/>
  <c r="Y190" i="1"/>
  <c r="Z190" i="1" s="1"/>
  <c r="Y189" i="1"/>
  <c r="Z189" i="1" s="1"/>
  <c r="Y188" i="1"/>
  <c r="Z188" i="1" s="1"/>
  <c r="Y187" i="1"/>
  <c r="Z187" i="1" s="1"/>
  <c r="Y186" i="1"/>
  <c r="Y185" i="1"/>
  <c r="Y184" i="1"/>
  <c r="Z184" i="1" s="1"/>
  <c r="Y183" i="1"/>
  <c r="Z183" i="1" s="1"/>
  <c r="Y182" i="1"/>
  <c r="Z182" i="1" s="1"/>
  <c r="Y181" i="1"/>
  <c r="Z181" i="1" s="1"/>
  <c r="Y180" i="1"/>
  <c r="Z180" i="1" s="1"/>
  <c r="Y179" i="1"/>
  <c r="Z179" i="1" s="1"/>
  <c r="Y178" i="1"/>
  <c r="Z178" i="1" s="1"/>
  <c r="Y177" i="1"/>
  <c r="Z177" i="1" s="1"/>
  <c r="Y176" i="1"/>
  <c r="Z176" i="1" s="1"/>
  <c r="Y175" i="1"/>
  <c r="Z175" i="1" s="1"/>
  <c r="Y174" i="1"/>
  <c r="Z174" i="1" s="1"/>
  <c r="Y173" i="1"/>
  <c r="Y172" i="1"/>
  <c r="Z172" i="1" s="1"/>
  <c r="Y171" i="1"/>
  <c r="Y170" i="1"/>
  <c r="Z170" i="1" s="1"/>
  <c r="Y169" i="1"/>
  <c r="Y168" i="1"/>
  <c r="Z168" i="1" s="1"/>
  <c r="Y167" i="1"/>
  <c r="Z167" i="1" s="1"/>
  <c r="Y166" i="1"/>
  <c r="Y165" i="1"/>
  <c r="Z165" i="1" s="1"/>
  <c r="Y164" i="1"/>
  <c r="Z164" i="1" s="1"/>
  <c r="Y163" i="1"/>
  <c r="Z163" i="1" s="1"/>
  <c r="Y162" i="1"/>
  <c r="Z162" i="1" s="1"/>
  <c r="Y161" i="1"/>
  <c r="Z161" i="1" s="1"/>
  <c r="Y160" i="1"/>
  <c r="Y159" i="1"/>
  <c r="Z159" i="1" s="1"/>
  <c r="Y158" i="1"/>
  <c r="Z158" i="1" s="1"/>
  <c r="Y157" i="1"/>
  <c r="Z157" i="1" s="1"/>
  <c r="Y156" i="1"/>
  <c r="Z156" i="1" s="1"/>
  <c r="Y155" i="1"/>
  <c r="Z155" i="1" s="1"/>
  <c r="Y154" i="1"/>
  <c r="Z154" i="1" s="1"/>
  <c r="Y153" i="1"/>
  <c r="Z153" i="1" s="1"/>
  <c r="Y152" i="1"/>
  <c r="Z152" i="1" s="1"/>
  <c r="Y151" i="1"/>
  <c r="Z151" i="1" s="1"/>
  <c r="Y150" i="1"/>
  <c r="Z150" i="1" s="1"/>
  <c r="Y149" i="1"/>
  <c r="Z149" i="1" s="1"/>
  <c r="Y148" i="1"/>
  <c r="Z148" i="1" s="1"/>
  <c r="Y147" i="1"/>
  <c r="Z147" i="1" s="1"/>
  <c r="Y146" i="1"/>
  <c r="Z146" i="1" s="1"/>
  <c r="Y145" i="1"/>
  <c r="Y144" i="1"/>
  <c r="Z144" i="1" s="1"/>
  <c r="Y143" i="1"/>
  <c r="Z143" i="1" s="1"/>
  <c r="Y142" i="1"/>
  <c r="Z142" i="1" s="1"/>
  <c r="Y141" i="1"/>
  <c r="Z141" i="1" s="1"/>
  <c r="Y140" i="1"/>
  <c r="Z140" i="1" s="1"/>
  <c r="Y139" i="1"/>
  <c r="Z139" i="1" s="1"/>
  <c r="Y138" i="1"/>
  <c r="Z138" i="1" s="1"/>
  <c r="Y137" i="1"/>
  <c r="Z137" i="1" s="1"/>
  <c r="Y136" i="1"/>
  <c r="Z136" i="1" s="1"/>
  <c r="Y135" i="1"/>
  <c r="Z135" i="1" s="1"/>
  <c r="Y134" i="1"/>
  <c r="Z134" i="1" s="1"/>
  <c r="Y133" i="1"/>
  <c r="Z133" i="1" s="1"/>
  <c r="Y132" i="1"/>
  <c r="Z132" i="1" s="1"/>
  <c r="Y131" i="1"/>
  <c r="Z131" i="1" s="1"/>
  <c r="Y130" i="1"/>
  <c r="Y129" i="1"/>
  <c r="Z129" i="1" s="1"/>
  <c r="Y128" i="1"/>
  <c r="Z128" i="1" s="1"/>
  <c r="Y127" i="1"/>
  <c r="Z127" i="1" s="1"/>
  <c r="Y126" i="1"/>
  <c r="Z126" i="1" s="1"/>
  <c r="Y125" i="1"/>
  <c r="Z125" i="1" s="1"/>
  <c r="Y124" i="1"/>
  <c r="Z124" i="1" s="1"/>
  <c r="Y123" i="1"/>
  <c r="Z123" i="1" s="1"/>
  <c r="Y122" i="1"/>
  <c r="Z122" i="1" s="1"/>
  <c r="Y121" i="1"/>
  <c r="Z121" i="1" s="1"/>
  <c r="Y120" i="1"/>
  <c r="Z120" i="1" s="1"/>
  <c r="Y119" i="1"/>
  <c r="Z119" i="1" s="1"/>
  <c r="Y118" i="1"/>
  <c r="Z118" i="1" s="1"/>
  <c r="Y117" i="1"/>
  <c r="Z117" i="1" s="1"/>
  <c r="Y116" i="1"/>
  <c r="Z116" i="1" s="1"/>
  <c r="Y115" i="1"/>
  <c r="Z115" i="1" s="1"/>
  <c r="Y114" i="1"/>
  <c r="Z114" i="1" s="1"/>
  <c r="Y113" i="1"/>
  <c r="Z113" i="1" s="1"/>
  <c r="Y112" i="1"/>
  <c r="Z112" i="1" s="1"/>
  <c r="Y111" i="1"/>
  <c r="Z111" i="1" s="1"/>
  <c r="Y110" i="1"/>
  <c r="Z110" i="1" s="1"/>
  <c r="Y109" i="1"/>
  <c r="Z109" i="1" s="1"/>
  <c r="Y108" i="1"/>
  <c r="Z108" i="1" s="1"/>
  <c r="Y107" i="1"/>
  <c r="Z107" i="1" s="1"/>
  <c r="Y106" i="1"/>
  <c r="Z106" i="1" s="1"/>
  <c r="Y105" i="1"/>
  <c r="Z105" i="1" s="1"/>
  <c r="Y104" i="1"/>
  <c r="Z104" i="1" s="1"/>
  <c r="Y103" i="1"/>
  <c r="Z103" i="1" s="1"/>
  <c r="Y102" i="1"/>
  <c r="Z102" i="1" s="1"/>
  <c r="Y101" i="1"/>
  <c r="Z101" i="1" s="1"/>
  <c r="Y100" i="1"/>
  <c r="Z100" i="1" s="1"/>
  <c r="Y99" i="1"/>
  <c r="Z99" i="1" s="1"/>
  <c r="Y98" i="1"/>
  <c r="Z98" i="1" s="1"/>
  <c r="Y97" i="1"/>
  <c r="Z97" i="1" s="1"/>
  <c r="Y96" i="1"/>
  <c r="Z96" i="1" s="1"/>
  <c r="Y95" i="1"/>
  <c r="Z95" i="1" s="1"/>
  <c r="Y94" i="1"/>
  <c r="Z94" i="1" s="1"/>
  <c r="Y93" i="1"/>
  <c r="Z93" i="1" s="1"/>
  <c r="Y92" i="1"/>
  <c r="Z92" i="1" s="1"/>
  <c r="Y91" i="1"/>
  <c r="Z91" i="1" s="1"/>
  <c r="Y90" i="1"/>
  <c r="Z90" i="1" s="1"/>
  <c r="Y89" i="1"/>
  <c r="Z89" i="1" s="1"/>
  <c r="Y88" i="1"/>
  <c r="Z88" i="1" s="1"/>
  <c r="Y87" i="1"/>
  <c r="Z87" i="1" s="1"/>
  <c r="Y86" i="1"/>
  <c r="Z86" i="1" s="1"/>
  <c r="Y85" i="1"/>
  <c r="Z85" i="1" s="1"/>
  <c r="Y84" i="1"/>
  <c r="Z84" i="1" s="1"/>
  <c r="Y83" i="1"/>
  <c r="Z83" i="1" s="1"/>
  <c r="Y82" i="1"/>
  <c r="Z82" i="1" s="1"/>
  <c r="Y81" i="1"/>
  <c r="Z81" i="1" s="1"/>
  <c r="Y80" i="1"/>
  <c r="Z80" i="1" s="1"/>
  <c r="Y79" i="1"/>
  <c r="Z79" i="1" s="1"/>
  <c r="Y78" i="1"/>
  <c r="Z78" i="1" s="1"/>
  <c r="Y77" i="1"/>
  <c r="Z77" i="1" s="1"/>
  <c r="Y76" i="1"/>
  <c r="Z76" i="1" s="1"/>
  <c r="Y75" i="1"/>
  <c r="Z75" i="1" s="1"/>
  <c r="Z74" i="1"/>
  <c r="Y72" i="1"/>
  <c r="Z72" i="1" s="1"/>
  <c r="Y71" i="1"/>
  <c r="Z71" i="1" s="1"/>
  <c r="Y70" i="1"/>
  <c r="Z70" i="1" s="1"/>
  <c r="Y69" i="1"/>
  <c r="Z69" i="1" s="1"/>
  <c r="Y68" i="1"/>
  <c r="Z68" i="1" s="1"/>
  <c r="Y67" i="1"/>
  <c r="Z67" i="1" s="1"/>
  <c r="Y66" i="1"/>
  <c r="Z66" i="1" s="1"/>
  <c r="Y65" i="1"/>
  <c r="Z65" i="1" s="1"/>
  <c r="Y64" i="1"/>
  <c r="Z64" i="1" s="1"/>
  <c r="Y63" i="1"/>
  <c r="Z63" i="1" s="1"/>
  <c r="Y62" i="1"/>
  <c r="Z62" i="1" s="1"/>
  <c r="Y61" i="1"/>
  <c r="Z61" i="1" s="1"/>
  <c r="Y60" i="1"/>
  <c r="Z60" i="1" s="1"/>
  <c r="Y59" i="1"/>
  <c r="Z59" i="1" s="1"/>
  <c r="Y58" i="1"/>
  <c r="Z58" i="1" s="1"/>
  <c r="Y57" i="1"/>
  <c r="Z57" i="1" s="1"/>
  <c r="Y56" i="1"/>
  <c r="Z56" i="1" s="1"/>
  <c r="Y55" i="1"/>
  <c r="Z55" i="1" s="1"/>
  <c r="Y54" i="1"/>
  <c r="Z54" i="1" s="1"/>
  <c r="Y53" i="1"/>
  <c r="Z53" i="1" s="1"/>
  <c r="Y52" i="1"/>
  <c r="Z52" i="1" s="1"/>
  <c r="Y51" i="1"/>
  <c r="Z51" i="1" s="1"/>
  <c r="Y50" i="1"/>
  <c r="Z50" i="1" s="1"/>
  <c r="Y49" i="1"/>
  <c r="Z49" i="1" s="1"/>
  <c r="Y48" i="1"/>
  <c r="Z48" i="1" s="1"/>
  <c r="Y47" i="1"/>
  <c r="Z47" i="1" s="1"/>
  <c r="Y46" i="1"/>
  <c r="Z46" i="1" s="1"/>
  <c r="Y45" i="1"/>
  <c r="Z45" i="1" s="1"/>
  <c r="Y44" i="1"/>
  <c r="Z44" i="1" s="1"/>
  <c r="Y43" i="1"/>
  <c r="Z43" i="1" s="1"/>
  <c r="Y42" i="1"/>
  <c r="Z42" i="1" s="1"/>
  <c r="Y41" i="1"/>
  <c r="Z41" i="1" s="1"/>
  <c r="Y40" i="1"/>
  <c r="Z40" i="1" s="1"/>
  <c r="Y39" i="1"/>
  <c r="Z39" i="1" s="1"/>
  <c r="Y25" i="1"/>
  <c r="Z25" i="1" s="1"/>
  <c r="AB39" i="1" l="1"/>
  <c r="BS51" i="1"/>
  <c r="BT51" i="1"/>
  <c r="BS43" i="1"/>
  <c r="BT43" i="1"/>
  <c r="BS44" i="1"/>
  <c r="BT44" i="1"/>
  <c r="BS45" i="1"/>
  <c r="BT45" i="1"/>
  <c r="BS46" i="1"/>
  <c r="BT46" i="1"/>
  <c r="BS48" i="1"/>
  <c r="BT48" i="1"/>
  <c r="BP49" i="1"/>
  <c r="BQ49" i="1"/>
  <c r="AU49" i="1"/>
  <c r="BS49" i="1"/>
  <c r="BT49" i="1"/>
  <c r="AB49" i="1" l="1"/>
  <c r="BP120" i="1"/>
  <c r="AU120" i="1"/>
  <c r="BQ43" i="1"/>
  <c r="AB42" i="1" l="1"/>
  <c r="BL550" i="1" l="1"/>
  <c r="BK550" i="1"/>
  <c r="BJ550" i="1"/>
  <c r="AZ44" i="1"/>
  <c r="AY44" i="1"/>
  <c r="AX44" i="1"/>
  <c r="BQ44" i="1"/>
  <c r="AB44" i="1"/>
  <c r="AU44" i="1" l="1"/>
  <c r="BQ550" i="1"/>
  <c r="BP44" i="1"/>
  <c r="BK45" i="1"/>
  <c r="BJ45" i="1"/>
  <c r="BQ45" i="1" l="1"/>
  <c r="BI46" i="1"/>
  <c r="AY46" i="1"/>
  <c r="AW46" i="1"/>
  <c r="BQ46" i="1" l="1"/>
  <c r="BQ48" i="1" l="1"/>
  <c r="Z550" i="1" l="1"/>
  <c r="AB550" i="1" s="1"/>
  <c r="AB45" i="1"/>
  <c r="AB43" i="1"/>
  <c r="AB46" i="1"/>
  <c r="AB47" i="1"/>
  <c r="Z548" i="1"/>
  <c r="AB548" i="1" s="1"/>
  <c r="Z549" i="1"/>
  <c r="AB549" i="1" s="1"/>
  <c r="AB48" i="1"/>
  <c r="AB25" i="1"/>
  <c r="AB40" i="1"/>
  <c r="AB41" i="1"/>
  <c r="AB51" i="1"/>
  <c r="AB52" i="1"/>
  <c r="AB53" i="1"/>
  <c r="AB54" i="1"/>
  <c r="AB55" i="1"/>
  <c r="AB56" i="1"/>
  <c r="AB57" i="1"/>
  <c r="AB58" i="1"/>
  <c r="AB59" i="1"/>
  <c r="AB60" i="1"/>
  <c r="AB61" i="1"/>
  <c r="AB63" i="1"/>
  <c r="AB64" i="1"/>
  <c r="AB65" i="1"/>
  <c r="AB66" i="1"/>
  <c r="AB67" i="1"/>
  <c r="AB68" i="1"/>
  <c r="AB69" i="1"/>
  <c r="AB70" i="1"/>
  <c r="AB71" i="1"/>
  <c r="AB72" i="1"/>
  <c r="AB73" i="1"/>
  <c r="AB75" i="1"/>
  <c r="AB76" i="1"/>
  <c r="AB77" i="1"/>
  <c r="AB78" i="1"/>
  <c r="S139" i="1"/>
  <c r="S138" i="1"/>
  <c r="BS69" i="1"/>
  <c r="BT69" i="1"/>
  <c r="BS70" i="1"/>
  <c r="BT70" i="1"/>
  <c r="AU550" i="1"/>
  <c r="BP550" i="1"/>
  <c r="BP45" i="1"/>
  <c r="AU43" i="1"/>
  <c r="BP43" i="1"/>
  <c r="BP46" i="1"/>
  <c r="BP47" i="1"/>
  <c r="AU548" i="1"/>
  <c r="BP548" i="1"/>
  <c r="AU549" i="1"/>
  <c r="BP549" i="1"/>
  <c r="AU48" i="1"/>
  <c r="BP48" i="1"/>
  <c r="BQ5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66" i="1"/>
  <c r="BQ69" i="1"/>
  <c r="BQ70" i="1"/>
  <c r="BQ71" i="1"/>
  <c r="BQ72" i="1"/>
  <c r="BQ73" i="1"/>
  <c r="BQ74" i="1"/>
  <c r="BQ75" i="1"/>
  <c r="BQ76" i="1"/>
  <c r="BQ77" i="1"/>
  <c r="BQ40" i="1"/>
  <c r="AB79" i="1"/>
  <c r="AB80" i="1"/>
  <c r="AB81" i="1"/>
  <c r="AB82" i="1"/>
  <c r="AB83" i="1"/>
  <c r="AB84" i="1"/>
  <c r="AB85" i="1"/>
  <c r="AB88" i="1"/>
  <c r="AB90" i="1"/>
  <c r="AB94" i="1"/>
  <c r="AB95" i="1"/>
  <c r="AB96" i="1"/>
  <c r="AB97" i="1"/>
  <c r="AB98" i="1"/>
  <c r="AB99" i="1"/>
  <c r="AB100" i="1"/>
  <c r="AB101" i="1"/>
  <c r="AB102" i="1"/>
  <c r="AB103" i="1"/>
  <c r="AB105" i="1"/>
  <c r="AB107" i="1"/>
  <c r="AB108" i="1"/>
  <c r="AB109" i="1"/>
  <c r="AB110" i="1"/>
  <c r="AB114" i="1"/>
  <c r="AB119" i="1"/>
  <c r="AB120" i="1"/>
  <c r="AB121" i="1"/>
  <c r="AB122" i="1"/>
  <c r="AB124" i="1"/>
  <c r="AB125" i="1"/>
  <c r="AB126" i="1"/>
  <c r="AB131" i="1"/>
  <c r="AB132" i="1"/>
  <c r="AB133" i="1"/>
  <c r="AB134" i="1"/>
  <c r="AB135" i="1"/>
  <c r="AB137" i="1"/>
  <c r="AB138" i="1"/>
  <c r="AB139" i="1"/>
  <c r="AB140" i="1"/>
  <c r="AB141" i="1"/>
  <c r="AB144" i="1"/>
  <c r="AB146" i="1"/>
  <c r="AB149" i="1"/>
  <c r="AB150" i="1"/>
  <c r="AB151" i="1"/>
  <c r="AB152" i="1"/>
  <c r="AB155" i="1"/>
  <c r="AB156" i="1"/>
  <c r="AB157" i="1"/>
  <c r="AB158" i="1"/>
  <c r="AB162" i="1"/>
  <c r="AB163" i="1"/>
  <c r="AB164" i="1"/>
  <c r="AB165" i="1"/>
  <c r="AB167" i="1"/>
  <c r="AB168" i="1"/>
  <c r="AB170" i="1"/>
  <c r="AB172" i="1"/>
  <c r="AB175" i="1"/>
  <c r="AB179" i="1"/>
  <c r="AB180" i="1"/>
  <c r="AB181" i="1"/>
  <c r="AB182" i="1"/>
  <c r="AB184" i="1"/>
  <c r="AB187" i="1"/>
  <c r="AB191" i="1"/>
  <c r="AB192" i="1"/>
  <c r="AB195" i="1"/>
  <c r="AB196" i="1"/>
  <c r="AB197" i="1"/>
  <c r="AB198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4" i="1"/>
  <c r="AB215" i="1"/>
  <c r="AB216" i="1"/>
  <c r="AB217" i="1"/>
  <c r="AB218" i="1"/>
  <c r="AB221" i="1"/>
  <c r="AB222" i="1"/>
  <c r="AB223" i="1"/>
  <c r="AB225" i="1"/>
  <c r="AB226" i="1"/>
  <c r="AB227" i="1"/>
  <c r="AB228" i="1"/>
  <c r="AB229" i="1"/>
  <c r="AB230" i="1"/>
  <c r="AB231" i="1"/>
  <c r="AB233" i="1"/>
  <c r="AB235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50" i="1"/>
  <c r="AB251" i="1"/>
  <c r="AB252" i="1"/>
  <c r="AB253" i="1"/>
  <c r="AB254" i="1"/>
  <c r="AB255" i="1"/>
  <c r="AB256" i="1"/>
  <c r="AB257" i="1"/>
  <c r="AB258" i="1"/>
  <c r="AB260" i="1"/>
  <c r="AB262" i="1"/>
  <c r="AB263" i="1"/>
  <c r="AB264" i="1"/>
  <c r="AB265" i="1"/>
  <c r="AB266" i="1"/>
  <c r="AB269" i="1"/>
  <c r="AB270" i="1"/>
  <c r="AB271" i="1"/>
  <c r="AB273" i="1"/>
  <c r="AB274" i="1"/>
  <c r="AB275" i="1"/>
  <c r="AB277" i="1"/>
  <c r="AB278" i="1"/>
  <c r="AB280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4" i="1"/>
  <c r="AB305" i="1"/>
  <c r="AB306" i="1"/>
  <c r="AB307" i="1"/>
  <c r="AB308" i="1"/>
  <c r="AB310" i="1"/>
  <c r="AB311" i="1"/>
  <c r="AB312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86" i="1"/>
  <c r="AB147" i="1" l="1"/>
  <c r="AB148" i="1"/>
  <c r="AB106" i="1"/>
  <c r="AB118" i="1"/>
  <c r="AB190" i="1"/>
  <c r="AB213" i="1"/>
  <c r="AB189" i="1"/>
  <c r="AB176" i="1"/>
  <c r="AB261" i="1"/>
  <c r="AB249" i="1"/>
  <c r="AB93" i="1"/>
  <c r="AB117" i="1"/>
  <c r="AB212" i="1"/>
  <c r="AB129" i="1"/>
  <c r="AB224" i="1"/>
  <c r="AB142" i="1"/>
  <c r="AB236" i="1"/>
  <c r="AB272" i="1"/>
  <c r="AB183" i="1"/>
  <c r="AB136" i="1"/>
  <c r="AB87" i="1"/>
  <c r="AB177" i="1"/>
  <c r="AB111" i="1"/>
  <c r="AB123" i="1"/>
  <c r="AB128" i="1"/>
  <c r="AB104" i="1"/>
  <c r="AB113" i="1"/>
  <c r="AB154" i="1"/>
  <c r="AB116" i="1"/>
  <c r="AB161" i="1"/>
  <c r="AB188" i="1"/>
  <c r="AB174" i="1"/>
  <c r="AB234" i="1"/>
  <c r="AB178" i="1"/>
  <c r="AB112" i="1"/>
  <c r="AB74" i="1"/>
  <c r="AB62" i="1"/>
  <c r="AB50" i="1"/>
  <c r="AB115" i="1"/>
  <c r="AB153" i="1"/>
  <c r="AB89" i="1"/>
  <c r="AB91" i="1"/>
  <c r="AB92" i="1"/>
  <c r="AB143" i="1"/>
  <c r="AB259" i="1"/>
  <c r="AB232" i="1"/>
  <c r="AB268" i="1"/>
  <c r="AB267" i="1"/>
  <c r="AB127" i="1"/>
  <c r="AB159" i="1"/>
  <c r="AB219" i="1"/>
  <c r="AB220" i="1"/>
  <c r="BT40" i="1"/>
  <c r="AU25" i="1" l="1"/>
  <c r="AU40" i="1"/>
  <c r="AU41" i="1"/>
  <c r="AU50" i="1"/>
  <c r="AU51" i="1"/>
  <c r="BT52" i="1"/>
  <c r="BS52" i="1"/>
  <c r="BP40" i="1" l="1"/>
  <c r="BP41" i="1"/>
  <c r="BP50" i="1"/>
  <c r="BP51" i="1"/>
  <c r="BP52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9" i="1"/>
  <c r="BP70" i="1"/>
  <c r="BP71" i="1"/>
  <c r="BP72" i="1"/>
  <c r="BP73" i="1"/>
  <c r="BP74" i="1"/>
  <c r="BP75" i="1"/>
  <c r="BP76" i="1"/>
  <c r="BP77" i="1"/>
  <c r="BP53" i="1"/>
  <c r="BT53" i="1"/>
  <c r="BS53" i="1"/>
  <c r="BT54" i="1" l="1"/>
  <c r="BS54" i="1"/>
  <c r="AX55" i="1" l="1"/>
  <c r="AW55" i="1"/>
  <c r="BT55" i="1"/>
  <c r="BS55" i="1"/>
  <c r="BS57" i="1" l="1"/>
  <c r="BT57" i="1"/>
  <c r="AU52" i="1" l="1"/>
  <c r="AU53" i="1"/>
  <c r="AU54" i="1"/>
  <c r="AU55" i="1"/>
  <c r="AU56" i="1"/>
  <c r="AU57" i="1"/>
  <c r="BT56" i="1"/>
  <c r="BS56" i="1"/>
  <c r="BT81" i="1" l="1"/>
  <c r="BS81" i="1"/>
  <c r="AU65" i="1" l="1"/>
  <c r="AZ64" i="1"/>
  <c r="AU64" i="1" s="1"/>
  <c r="BT65" i="1"/>
  <c r="BS65" i="1"/>
  <c r="BS64" i="1"/>
  <c r="BT64" i="1"/>
  <c r="AU59" i="1"/>
  <c r="AU62" i="1"/>
  <c r="AU63" i="1"/>
  <c r="AU66" i="1"/>
  <c r="AU60" i="1"/>
  <c r="AU61" i="1"/>
  <c r="AU67" i="1"/>
  <c r="AU58" i="1"/>
  <c r="BS58" i="1"/>
  <c r="BT58" i="1"/>
  <c r="BS59" i="1"/>
  <c r="BT59" i="1"/>
  <c r="BS25" i="1"/>
  <c r="BT25" i="1"/>
  <c r="BS60" i="1"/>
  <c r="BT60" i="1"/>
  <c r="BS61" i="1"/>
  <c r="BT61" i="1"/>
  <c r="BS62" i="1"/>
  <c r="BT62" i="1"/>
  <c r="BS63" i="1"/>
  <c r="BT63" i="1"/>
  <c r="BS66" i="1"/>
  <c r="BT66" i="1"/>
  <c r="BS67" i="1"/>
  <c r="BT67" i="1"/>
  <c r="BS68" i="1"/>
  <c r="BT68" i="1"/>
  <c r="BS71" i="1"/>
  <c r="BT71" i="1"/>
  <c r="BT540" i="1"/>
  <c r="BS540" i="1"/>
  <c r="BS533" i="1"/>
  <c r="BT533" i="1"/>
  <c r="BS534" i="1"/>
  <c r="BT534" i="1"/>
  <c r="BS535" i="1"/>
  <c r="BT535" i="1"/>
  <c r="BS536" i="1"/>
  <c r="BT536" i="1"/>
  <c r="BS537" i="1"/>
  <c r="BT537" i="1"/>
  <c r="BS538" i="1"/>
  <c r="BT538" i="1"/>
  <c r="BS539" i="1"/>
  <c r="BT539" i="1"/>
  <c r="BS541" i="1"/>
  <c r="BT541" i="1"/>
  <c r="BS50" i="1"/>
  <c r="BT77" i="1"/>
  <c r="BS77" i="1"/>
  <c r="BT532" i="1"/>
  <c r="BS532" i="1"/>
  <c r="BT74" i="1"/>
  <c r="BS74" i="1"/>
  <c r="BT75" i="1"/>
  <c r="BS75" i="1"/>
  <c r="BT531" i="1"/>
  <c r="BS531" i="1"/>
  <c r="BT530" i="1"/>
  <c r="BS530" i="1"/>
  <c r="BT76" i="1"/>
  <c r="BS76" i="1"/>
  <c r="BT529" i="1"/>
  <c r="BS529" i="1"/>
  <c r="BT523" i="1"/>
  <c r="BS523" i="1"/>
  <c r="BT528" i="1"/>
  <c r="BS528" i="1"/>
  <c r="BT527" i="1"/>
  <c r="BS527" i="1"/>
  <c r="BT526" i="1"/>
  <c r="BS526" i="1"/>
  <c r="BT73" i="1"/>
  <c r="BS73" i="1"/>
  <c r="BT525" i="1"/>
  <c r="BS525" i="1"/>
  <c r="BT72" i="1"/>
  <c r="BS72" i="1"/>
  <c r="BT524" i="1"/>
  <c r="BS524" i="1"/>
  <c r="Q89" i="1"/>
  <c r="BS330" i="1"/>
  <c r="BT330" i="1"/>
  <c r="BS329" i="1"/>
  <c r="BT329" i="1"/>
  <c r="BS328" i="1"/>
  <c r="BT328" i="1"/>
  <c r="BS327" i="1"/>
  <c r="BT327" i="1"/>
  <c r="BS326" i="1"/>
  <c r="BT326" i="1"/>
  <c r="BS325" i="1"/>
  <c r="BT325" i="1"/>
  <c r="BS324" i="1"/>
  <c r="BT324" i="1"/>
  <c r="BS323" i="1"/>
  <c r="BT323" i="1"/>
  <c r="BS322" i="1"/>
  <c r="BT322" i="1"/>
  <c r="BS321" i="1"/>
  <c r="BT321" i="1"/>
  <c r="BS320" i="1"/>
  <c r="BT320" i="1"/>
  <c r="BS319" i="1"/>
  <c r="BT319" i="1"/>
  <c r="BS318" i="1"/>
  <c r="BT318" i="1"/>
  <c r="BS317" i="1"/>
  <c r="BT317" i="1"/>
  <c r="BS316" i="1"/>
  <c r="BT316" i="1"/>
  <c r="BS315" i="1"/>
  <c r="BT315" i="1"/>
  <c r="BS314" i="1"/>
  <c r="BT314" i="1"/>
  <c r="BS313" i="1"/>
  <c r="BT313" i="1"/>
  <c r="BS312" i="1"/>
  <c r="BT312" i="1"/>
  <c r="BS311" i="1"/>
  <c r="BT311" i="1"/>
  <c r="BS310" i="1"/>
  <c r="BT310" i="1"/>
  <c r="BS309" i="1"/>
  <c r="BT309" i="1"/>
  <c r="BS308" i="1"/>
  <c r="BT308" i="1"/>
  <c r="BS307" i="1"/>
  <c r="BT307" i="1"/>
  <c r="BS306" i="1"/>
  <c r="BT306" i="1"/>
  <c r="BS305" i="1"/>
  <c r="BT305" i="1"/>
  <c r="BS304" i="1"/>
  <c r="BT304" i="1"/>
  <c r="BS303" i="1"/>
  <c r="BT303" i="1"/>
  <c r="BS302" i="1"/>
  <c r="BT302" i="1"/>
  <c r="BS301" i="1"/>
  <c r="BT301" i="1"/>
  <c r="BS300" i="1"/>
  <c r="BT300" i="1"/>
  <c r="BS299" i="1"/>
  <c r="BT299" i="1"/>
  <c r="BS298" i="1"/>
  <c r="BT298" i="1"/>
  <c r="BS297" i="1"/>
  <c r="BT297" i="1"/>
  <c r="BS296" i="1"/>
  <c r="BT296" i="1"/>
  <c r="BS295" i="1"/>
  <c r="BT295" i="1"/>
  <c r="BS294" i="1"/>
  <c r="BT294" i="1"/>
  <c r="BS293" i="1"/>
  <c r="BT293" i="1"/>
  <c r="BS292" i="1"/>
  <c r="BT292" i="1"/>
  <c r="BS291" i="1"/>
  <c r="BT291" i="1"/>
  <c r="BS290" i="1"/>
  <c r="BT290" i="1"/>
  <c r="BS289" i="1"/>
  <c r="BT289" i="1"/>
  <c r="BS288" i="1"/>
  <c r="BT288" i="1"/>
  <c r="BS287" i="1"/>
  <c r="BT287" i="1"/>
  <c r="BS286" i="1"/>
  <c r="BT286" i="1"/>
  <c r="BS285" i="1"/>
  <c r="BT285" i="1"/>
  <c r="BS284" i="1"/>
  <c r="BT284" i="1"/>
  <c r="BS283" i="1"/>
  <c r="BT283" i="1"/>
  <c r="BS282" i="1"/>
  <c r="BT282" i="1"/>
  <c r="BS281" i="1"/>
  <c r="BT281" i="1"/>
  <c r="BS280" i="1"/>
  <c r="BT280" i="1"/>
  <c r="BS279" i="1"/>
  <c r="BT279" i="1"/>
  <c r="BS278" i="1"/>
  <c r="BT278" i="1"/>
  <c r="BS277" i="1"/>
  <c r="BT277" i="1"/>
  <c r="BS276" i="1"/>
  <c r="BT276" i="1"/>
  <c r="BS275" i="1"/>
  <c r="BT275" i="1"/>
  <c r="BS274" i="1"/>
  <c r="BT274" i="1"/>
  <c r="BS273" i="1"/>
  <c r="BT273" i="1"/>
  <c r="BS272" i="1"/>
  <c r="BT272" i="1"/>
  <c r="BS271" i="1"/>
  <c r="BT271" i="1"/>
  <c r="BS270" i="1"/>
  <c r="BT270" i="1"/>
  <c r="BS269" i="1"/>
  <c r="BT269" i="1"/>
  <c r="BS268" i="1"/>
  <c r="BT268" i="1"/>
  <c r="BS267" i="1"/>
  <c r="BT267" i="1"/>
  <c r="BS266" i="1"/>
  <c r="BT266" i="1"/>
  <c r="BS265" i="1"/>
  <c r="BT265" i="1"/>
  <c r="BS264" i="1"/>
  <c r="BT264" i="1"/>
  <c r="BS263" i="1"/>
  <c r="BT263" i="1"/>
  <c r="BS262" i="1"/>
  <c r="BT262" i="1"/>
  <c r="BS261" i="1"/>
  <c r="BT261" i="1"/>
  <c r="BS260" i="1"/>
  <c r="BT260" i="1"/>
  <c r="BS259" i="1"/>
  <c r="BT259" i="1"/>
  <c r="BS258" i="1"/>
  <c r="BT258" i="1"/>
  <c r="BS257" i="1"/>
  <c r="BT257" i="1"/>
  <c r="BS256" i="1"/>
  <c r="BT256" i="1"/>
  <c r="BS255" i="1"/>
  <c r="BT255" i="1"/>
  <c r="BS254" i="1"/>
  <c r="BT254" i="1"/>
  <c r="BS253" i="1"/>
  <c r="BT253" i="1"/>
  <c r="BS252" i="1"/>
  <c r="BT252" i="1"/>
  <c r="BS251" i="1"/>
  <c r="BT251" i="1"/>
  <c r="BS250" i="1"/>
  <c r="BT250" i="1"/>
  <c r="BS249" i="1"/>
  <c r="BT249" i="1"/>
  <c r="BS248" i="1"/>
  <c r="BT248" i="1"/>
  <c r="BS247" i="1"/>
  <c r="BT247" i="1"/>
  <c r="BS246" i="1"/>
  <c r="BT246" i="1"/>
  <c r="BS245" i="1"/>
  <c r="BT245" i="1"/>
  <c r="BS244" i="1"/>
  <c r="BT244" i="1"/>
  <c r="BS243" i="1"/>
  <c r="BT243" i="1"/>
  <c r="BS242" i="1"/>
  <c r="BT242" i="1"/>
  <c r="BS241" i="1"/>
  <c r="BT241" i="1"/>
  <c r="BS240" i="1"/>
  <c r="BT240" i="1"/>
  <c r="BS239" i="1"/>
  <c r="BT239" i="1"/>
  <c r="BS238" i="1"/>
  <c r="BT238" i="1"/>
  <c r="BS237" i="1"/>
  <c r="BT237" i="1"/>
  <c r="BS236" i="1"/>
  <c r="BT236" i="1"/>
  <c r="BS235" i="1"/>
  <c r="BT235" i="1"/>
  <c r="BS234" i="1"/>
  <c r="BT234" i="1"/>
  <c r="BS233" i="1"/>
  <c r="BT233" i="1"/>
  <c r="BS232" i="1"/>
  <c r="BT232" i="1"/>
  <c r="BS231" i="1"/>
  <c r="BT231" i="1"/>
  <c r="BS230" i="1"/>
  <c r="BT230" i="1"/>
  <c r="BS229" i="1"/>
  <c r="BT229" i="1"/>
  <c r="BS228" i="1"/>
  <c r="BT228" i="1"/>
  <c r="BS227" i="1"/>
  <c r="BT227" i="1"/>
  <c r="BS226" i="1"/>
  <c r="BT226" i="1"/>
  <c r="BS225" i="1"/>
  <c r="BT225" i="1"/>
  <c r="BS224" i="1"/>
  <c r="BT224" i="1"/>
  <c r="BS223" i="1"/>
  <c r="BT223" i="1"/>
  <c r="BS222" i="1"/>
  <c r="BT222" i="1"/>
  <c r="BS221" i="1"/>
  <c r="BT221" i="1"/>
  <c r="BS220" i="1"/>
  <c r="BT220" i="1"/>
  <c r="BS219" i="1"/>
  <c r="BT219" i="1"/>
  <c r="BS218" i="1"/>
  <c r="BT218" i="1"/>
  <c r="BS217" i="1"/>
  <c r="BT217" i="1"/>
  <c r="BS216" i="1"/>
  <c r="BT216" i="1"/>
  <c r="BS215" i="1"/>
  <c r="BT215" i="1"/>
  <c r="BS214" i="1"/>
  <c r="BT214" i="1"/>
  <c r="BS213" i="1"/>
  <c r="BT213" i="1"/>
  <c r="BS212" i="1"/>
  <c r="BT212" i="1"/>
  <c r="BS211" i="1"/>
  <c r="BT211" i="1"/>
  <c r="BS210" i="1"/>
  <c r="BT210" i="1"/>
  <c r="BS209" i="1"/>
  <c r="BT209" i="1"/>
  <c r="BS208" i="1"/>
  <c r="BT208" i="1"/>
  <c r="BS207" i="1"/>
  <c r="BT207" i="1"/>
  <c r="BS206" i="1"/>
  <c r="BT206" i="1"/>
  <c r="BS205" i="1"/>
  <c r="BT205" i="1"/>
  <c r="BS204" i="1"/>
  <c r="BT204" i="1"/>
  <c r="BS203" i="1"/>
  <c r="BT203" i="1"/>
  <c r="BS202" i="1"/>
  <c r="BT202" i="1"/>
  <c r="BS201" i="1"/>
  <c r="BT201" i="1"/>
  <c r="BS200" i="1"/>
  <c r="BT200" i="1"/>
  <c r="BS199" i="1"/>
  <c r="BT199" i="1"/>
  <c r="BS198" i="1"/>
  <c r="BT198" i="1"/>
  <c r="BS197" i="1"/>
  <c r="BT197" i="1"/>
  <c r="BS196" i="1"/>
  <c r="BT196" i="1"/>
  <c r="BS195" i="1"/>
  <c r="BT195" i="1"/>
  <c r="BS194" i="1"/>
  <c r="BT194" i="1"/>
  <c r="BS193" i="1"/>
  <c r="BT193" i="1"/>
  <c r="BS192" i="1"/>
  <c r="BT192" i="1"/>
  <c r="BS191" i="1"/>
  <c r="BT191" i="1"/>
  <c r="BS190" i="1"/>
  <c r="BT190" i="1"/>
  <c r="BS189" i="1"/>
  <c r="BT189" i="1"/>
  <c r="BS188" i="1"/>
  <c r="BT188" i="1"/>
  <c r="BS187" i="1"/>
  <c r="BT187" i="1"/>
  <c r="BS186" i="1"/>
  <c r="BT186" i="1"/>
  <c r="BS185" i="1"/>
  <c r="BT185" i="1"/>
  <c r="BS184" i="1"/>
  <c r="BT184" i="1"/>
  <c r="BS183" i="1"/>
  <c r="BT183" i="1"/>
  <c r="BS182" i="1"/>
  <c r="BT182" i="1"/>
  <c r="BS181" i="1"/>
  <c r="BT181" i="1"/>
  <c r="BS180" i="1"/>
  <c r="BT180" i="1"/>
  <c r="BS179" i="1"/>
  <c r="BT179" i="1"/>
  <c r="BS178" i="1"/>
  <c r="BT178" i="1"/>
  <c r="BS177" i="1"/>
  <c r="BT177" i="1"/>
  <c r="BS176" i="1"/>
  <c r="BT176" i="1"/>
  <c r="BS175" i="1"/>
  <c r="BT175" i="1"/>
  <c r="BS174" i="1"/>
  <c r="BT174" i="1"/>
  <c r="BS173" i="1"/>
  <c r="BT173" i="1"/>
  <c r="BS172" i="1"/>
  <c r="BT172" i="1"/>
  <c r="BS171" i="1"/>
  <c r="BT171" i="1"/>
  <c r="BS170" i="1"/>
  <c r="BT170" i="1"/>
  <c r="BS169" i="1"/>
  <c r="BT169" i="1"/>
  <c r="BS168" i="1"/>
  <c r="BT168" i="1"/>
  <c r="BS167" i="1"/>
  <c r="BT167" i="1"/>
  <c r="BS166" i="1"/>
  <c r="BT166" i="1"/>
  <c r="BS165" i="1"/>
  <c r="BT165" i="1"/>
  <c r="BS164" i="1"/>
  <c r="BT164" i="1"/>
  <c r="BS163" i="1"/>
  <c r="BT163" i="1"/>
  <c r="BS162" i="1"/>
  <c r="BT162" i="1"/>
  <c r="BS161" i="1"/>
  <c r="BT161" i="1"/>
  <c r="BS160" i="1"/>
  <c r="BT160" i="1"/>
  <c r="BS159" i="1"/>
  <c r="BT159" i="1"/>
  <c r="BS158" i="1"/>
  <c r="BT158" i="1"/>
  <c r="BS157" i="1"/>
  <c r="BT157" i="1"/>
  <c r="BS156" i="1"/>
  <c r="BT156" i="1"/>
  <c r="BS155" i="1"/>
  <c r="BT155" i="1"/>
  <c r="BS154" i="1"/>
  <c r="BT154" i="1"/>
  <c r="BS153" i="1"/>
  <c r="BT153" i="1"/>
  <c r="BS152" i="1"/>
  <c r="BT152" i="1"/>
  <c r="BS151" i="1"/>
  <c r="BT151" i="1"/>
  <c r="BS150" i="1"/>
  <c r="BT150" i="1"/>
  <c r="BS149" i="1"/>
  <c r="BT149" i="1"/>
  <c r="BS148" i="1"/>
  <c r="BT148" i="1"/>
  <c r="BS147" i="1"/>
  <c r="BT147" i="1"/>
  <c r="BS146" i="1"/>
  <c r="BT146" i="1"/>
  <c r="BS145" i="1"/>
  <c r="BT145" i="1"/>
  <c r="BS144" i="1"/>
  <c r="BT144" i="1"/>
  <c r="BS143" i="1"/>
  <c r="BT143" i="1"/>
  <c r="BS142" i="1"/>
  <c r="BT142" i="1"/>
  <c r="BS141" i="1"/>
  <c r="BT141" i="1"/>
  <c r="BS140" i="1"/>
  <c r="BT140" i="1"/>
  <c r="BS139" i="1"/>
  <c r="BT139" i="1"/>
  <c r="BS138" i="1"/>
  <c r="BT138" i="1"/>
  <c r="BS137" i="1"/>
  <c r="BT137" i="1"/>
  <c r="BS136" i="1"/>
  <c r="BT136" i="1"/>
  <c r="BS135" i="1"/>
  <c r="BT135" i="1"/>
  <c r="BS134" i="1"/>
  <c r="BT134" i="1"/>
  <c r="BS133" i="1"/>
  <c r="BT133" i="1"/>
  <c r="BS132" i="1"/>
  <c r="BT132" i="1"/>
  <c r="BS131" i="1"/>
  <c r="BT131" i="1"/>
  <c r="BS130" i="1"/>
  <c r="BT130" i="1"/>
  <c r="BS129" i="1"/>
  <c r="BT129" i="1"/>
  <c r="BS128" i="1"/>
  <c r="BT128" i="1"/>
  <c r="BS127" i="1"/>
  <c r="BT127" i="1"/>
  <c r="BS126" i="1"/>
  <c r="BT126" i="1"/>
  <c r="BS125" i="1"/>
  <c r="BT125" i="1"/>
  <c r="BS124" i="1"/>
  <c r="BT124" i="1"/>
  <c r="BS123" i="1"/>
  <c r="BT123" i="1"/>
  <c r="BS122" i="1"/>
  <c r="BT122" i="1"/>
  <c r="BS121" i="1"/>
  <c r="BT121" i="1"/>
  <c r="BS120" i="1"/>
  <c r="BT120" i="1"/>
  <c r="BS119" i="1"/>
  <c r="BT119" i="1"/>
  <c r="BS118" i="1"/>
  <c r="BT118" i="1"/>
  <c r="BS117" i="1"/>
  <c r="BT117" i="1"/>
  <c r="BS116" i="1"/>
  <c r="BT116" i="1"/>
  <c r="BS115" i="1"/>
  <c r="BT115" i="1"/>
  <c r="BS114" i="1"/>
  <c r="BT114" i="1"/>
  <c r="BS113" i="1"/>
  <c r="BT113" i="1"/>
  <c r="BS112" i="1"/>
  <c r="BT112" i="1"/>
  <c r="BS111" i="1"/>
  <c r="BT111" i="1"/>
  <c r="BS110" i="1"/>
  <c r="BT110" i="1"/>
  <c r="BS109" i="1"/>
  <c r="BT109" i="1"/>
  <c r="BS108" i="1"/>
  <c r="BT108" i="1"/>
  <c r="BS107" i="1"/>
  <c r="BT107" i="1"/>
  <c r="BS106" i="1"/>
  <c r="BT106" i="1"/>
  <c r="BS105" i="1"/>
  <c r="BT105" i="1"/>
  <c r="BS104" i="1"/>
  <c r="BT104" i="1"/>
  <c r="BS103" i="1"/>
  <c r="BT103" i="1"/>
  <c r="BS102" i="1"/>
  <c r="BT102" i="1"/>
  <c r="BS101" i="1"/>
  <c r="BT101" i="1"/>
  <c r="BS100" i="1"/>
  <c r="BT100" i="1"/>
  <c r="BS99" i="1"/>
  <c r="BT99" i="1"/>
  <c r="BS98" i="1"/>
  <c r="BT98" i="1"/>
  <c r="BS97" i="1"/>
  <c r="BT97" i="1"/>
  <c r="BS96" i="1"/>
  <c r="BT96" i="1"/>
  <c r="BS95" i="1"/>
  <c r="BT95" i="1"/>
  <c r="BS94" i="1"/>
  <c r="BT94" i="1"/>
  <c r="BS93" i="1"/>
  <c r="BT93" i="1"/>
  <c r="BS92" i="1"/>
  <c r="BT92" i="1"/>
  <c r="BS91" i="1"/>
  <c r="BT91" i="1"/>
  <c r="BS89" i="1"/>
  <c r="BT89" i="1"/>
  <c r="BS90" i="1"/>
  <c r="BT90" i="1"/>
  <c r="BS88" i="1"/>
  <c r="BT88" i="1"/>
  <c r="BS87" i="1"/>
  <c r="BT87" i="1"/>
  <c r="BS86" i="1"/>
  <c r="BT86" i="1"/>
  <c r="BS85" i="1"/>
  <c r="BT85" i="1"/>
  <c r="BS84" i="1"/>
  <c r="BT84" i="1"/>
  <c r="BS83" i="1"/>
  <c r="BT83" i="1"/>
  <c r="BS82" i="1"/>
  <c r="BT82" i="1"/>
  <c r="BS79" i="1"/>
  <c r="BT79" i="1"/>
  <c r="BS80" i="1"/>
  <c r="BT80" i="1"/>
  <c r="BS346" i="1"/>
  <c r="BT346" i="1"/>
  <c r="BS345" i="1"/>
  <c r="BT345" i="1"/>
  <c r="BS344" i="1"/>
  <c r="BT344" i="1"/>
  <c r="BS343" i="1"/>
  <c r="BT343" i="1"/>
  <c r="BS342" i="1"/>
  <c r="BT342" i="1"/>
  <c r="BS341" i="1"/>
  <c r="BT341" i="1"/>
  <c r="BS340" i="1"/>
  <c r="BT340" i="1"/>
  <c r="BS339" i="1"/>
  <c r="BT339" i="1"/>
  <c r="BS338" i="1"/>
  <c r="BT338" i="1"/>
  <c r="BS337" i="1"/>
  <c r="BT337" i="1"/>
  <c r="BS336" i="1"/>
  <c r="BT336" i="1"/>
  <c r="BS335" i="1"/>
  <c r="BT335" i="1"/>
  <c r="BS334" i="1"/>
  <c r="BT334" i="1"/>
  <c r="BS333" i="1"/>
  <c r="BT333" i="1"/>
  <c r="BS332" i="1"/>
  <c r="BT332" i="1"/>
  <c r="BS331" i="1"/>
  <c r="BT331" i="1"/>
  <c r="BT347" i="1"/>
  <c r="BS347" i="1"/>
  <c r="Q94" i="1"/>
  <c r="R86" i="1"/>
  <c r="Q107" i="1"/>
  <c r="BR352" i="1"/>
  <c r="AU269" i="1"/>
  <c r="AU247" i="1"/>
  <c r="AU255" i="1"/>
  <c r="AU254" i="1"/>
  <c r="AU253" i="1"/>
  <c r="AU252" i="1"/>
  <c r="AU251" i="1"/>
  <c r="AU250" i="1"/>
  <c r="AU249" i="1"/>
  <c r="AU248" i="1"/>
  <c r="AU246" i="1"/>
  <c r="AU245" i="1"/>
  <c r="AU244" i="1"/>
  <c r="AU243" i="1"/>
  <c r="AU242" i="1"/>
  <c r="AU241" i="1"/>
  <c r="AU256" i="1"/>
  <c r="AY282" i="1"/>
  <c r="AU282" i="1" s="1"/>
  <c r="AX286" i="1"/>
  <c r="AU286" i="1" s="1"/>
  <c r="AX284" i="1"/>
  <c r="AU284" i="1" s="1"/>
  <c r="AU285" i="1"/>
  <c r="AU283" i="1"/>
  <c r="AU281" i="1"/>
  <c r="AU280" i="1"/>
  <c r="AU279" i="1"/>
  <c r="AU278" i="1"/>
  <c r="AU277" i="1"/>
  <c r="AU276" i="1"/>
  <c r="AU275" i="1"/>
  <c r="AX301" i="1"/>
  <c r="AW301" i="1"/>
  <c r="BT50" i="1" l="1"/>
</calcChain>
</file>

<file path=xl/sharedStrings.xml><?xml version="1.0" encoding="utf-8"?>
<sst xmlns="http://schemas.openxmlformats.org/spreadsheetml/2006/main" count="6784" uniqueCount="2300">
  <si>
    <t>2500 Block West College</t>
  </si>
  <si>
    <t>2555  W COLLEGE #B</t>
  </si>
  <si>
    <t>218 S Grove</t>
  </si>
  <si>
    <t>Old Hwy 93 &amp; Joe Dog Drive</t>
  </si>
  <si>
    <t>315 N Pattee Street</t>
  </si>
  <si>
    <t>Lots 1,2,3 Orchard Promenade</t>
  </si>
  <si>
    <t>1600 Block Wilder</t>
  </si>
  <si>
    <t>ALEX BURKHALTER</t>
  </si>
  <si>
    <t>SALISH &amp; KOOTENAI HOUSING AUTHORITY</t>
  </si>
  <si>
    <t>406-548-8988</t>
  </si>
  <si>
    <t>208-459-8522</t>
  </si>
  <si>
    <t>COLUMBIA FALLS TEAKETTLE VISTA ASSOCIATION</t>
  </si>
  <si>
    <t>59904-8300</t>
  </si>
  <si>
    <t>MAXWELL SENIOR APTS, LP</t>
  </si>
  <si>
    <t>PO BOX 4545</t>
  </si>
  <si>
    <t>HELENA</t>
  </si>
  <si>
    <t>PO BOX 1496</t>
  </si>
  <si>
    <t>BILLINGS</t>
  </si>
  <si>
    <t>59103-1496</t>
  </si>
  <si>
    <t>312 WESTVIEW DRIVE</t>
  </si>
  <si>
    <t>MISSOULA</t>
  </si>
  <si>
    <t>SHIRLEE TIBBETTS</t>
  </si>
  <si>
    <t>TIBBETTS &amp; COMPANY</t>
  </si>
  <si>
    <t>COLORADO SPRINGS</t>
  </si>
  <si>
    <t>PO BOX 614</t>
  </si>
  <si>
    <t>CULBERTSON</t>
  </si>
  <si>
    <t>DENVER</t>
  </si>
  <si>
    <t>SHERIDAN</t>
  </si>
  <si>
    <t>MILK RIVER INC</t>
  </si>
  <si>
    <t>GLASGOW</t>
  </si>
  <si>
    <t>PORTLAND</t>
  </si>
  <si>
    <t>6720 GHARRETT</t>
  </si>
  <si>
    <t>BOX 1625</t>
  </si>
  <si>
    <t>RED LODGE</t>
  </si>
  <si>
    <t>HAVRE</t>
  </si>
  <si>
    <t>MINNEAPOLIS</t>
  </si>
  <si>
    <t>HAYDEN LAKE</t>
  </si>
  <si>
    <t>CUT BANK VILLAS</t>
  </si>
  <si>
    <t>DAN ELDER</t>
  </si>
  <si>
    <t>165 ASPENWOOD DR</t>
  </si>
  <si>
    <t>MORELAND HILLS</t>
  </si>
  <si>
    <t>J &amp; L RENTAL</t>
  </si>
  <si>
    <t>406-353-2601</t>
  </si>
  <si>
    <t>619 SW HIGGINS STE D</t>
  </si>
  <si>
    <t>BLACKFEET HOUSING</t>
  </si>
  <si>
    <t>Family</t>
  </si>
  <si>
    <t>Kalispell</t>
  </si>
  <si>
    <t>Lewistown</t>
  </si>
  <si>
    <t>New Constr</t>
  </si>
  <si>
    <t>310 Second Ave E</t>
  </si>
  <si>
    <t>Superior</t>
  </si>
  <si>
    <t>Mineral</t>
  </si>
  <si>
    <t>Dist XI Human Resource Council, Inc</t>
  </si>
  <si>
    <t>Jim Morton</t>
  </si>
  <si>
    <t>1801 South Higgins</t>
  </si>
  <si>
    <t>406-728-3710</t>
  </si>
  <si>
    <t>Sparrow Development Group</t>
  </si>
  <si>
    <t>619 SW Higgins, Ave Ste E</t>
  </si>
  <si>
    <t>Lucy Brown</t>
  </si>
  <si>
    <t>406-245-6391</t>
  </si>
  <si>
    <t>Butte</t>
  </si>
  <si>
    <t>Butte Addordable Housing nc</t>
  </si>
  <si>
    <t>Revonda Stordahl</t>
  </si>
  <si>
    <t>220 Curtis Street</t>
  </si>
  <si>
    <t>406-782-6461</t>
  </si>
  <si>
    <t>Great Falls</t>
  </si>
  <si>
    <t>Affiliated Developers &amp; Tamarack Property Mgmt Co</t>
  </si>
  <si>
    <t>Matthew C Wick</t>
  </si>
  <si>
    <t>20245 W 12 Mile Rd Ste 120</t>
  </si>
  <si>
    <t>248-721-2195</t>
  </si>
  <si>
    <t>127 North Higgins Ave Ste 307</t>
  </si>
  <si>
    <t>Small</t>
  </si>
  <si>
    <t>MI</t>
  </si>
  <si>
    <t xml:space="preserve">Missoula </t>
  </si>
  <si>
    <t>Southfield</t>
  </si>
  <si>
    <t>406-251-5076 fax 406-251-3540</t>
  </si>
  <si>
    <t>JOSEPH MUELLER</t>
  </si>
  <si>
    <t>ANN  CLYATT</t>
  </si>
  <si>
    <t>PO BOX 1030</t>
  </si>
  <si>
    <t>59806-1030</t>
  </si>
  <si>
    <t>Browing/Heart Butte</t>
  </si>
  <si>
    <t>2101 Clark St</t>
  </si>
  <si>
    <t>Lincoln Lane</t>
  </si>
  <si>
    <t>Stonegate Drive</t>
  </si>
  <si>
    <t>General</t>
  </si>
  <si>
    <t>Blackfeet Housing</t>
  </si>
  <si>
    <t>Miles City Housing Authority</t>
  </si>
  <si>
    <t>Community Development, Inc.</t>
  </si>
  <si>
    <t>Ray Wilson</t>
  </si>
  <si>
    <t>Melissa Hartman</t>
  </si>
  <si>
    <t>Fred Free</t>
  </si>
  <si>
    <t>Patrick Klier</t>
  </si>
  <si>
    <t>406-541-0999</t>
  </si>
  <si>
    <t>MONFRIC REALTY</t>
  </si>
  <si>
    <t>32 S TRACY AVE</t>
  </si>
  <si>
    <t>59715-4659</t>
  </si>
  <si>
    <t>409 W ARTEMOS DR</t>
  </si>
  <si>
    <t>59803-1507</t>
  </si>
  <si>
    <t>20 4TH AVE EAST</t>
  </si>
  <si>
    <t>EDGEWOOD HOSING, LLC</t>
  </si>
  <si>
    <t>406-728-3040</t>
  </si>
  <si>
    <t>SCOTT SANDERS</t>
  </si>
  <si>
    <t>SPARROW GROUP</t>
  </si>
  <si>
    <t>RICO BRAZIL</t>
  </si>
  <si>
    <t>1405 E Broadway</t>
  </si>
  <si>
    <t>JAN NIEMEYER</t>
  </si>
  <si>
    <t>DOUG RAUTHE</t>
  </si>
  <si>
    <t>HOMEWORD</t>
  </si>
  <si>
    <t>BIRCHWOOD PROPERTIES</t>
  </si>
  <si>
    <t>ROGER KUULA</t>
  </si>
  <si>
    <t>PO BOX 2493</t>
  </si>
  <si>
    <t>420 SOUTH FIFTH ST</t>
  </si>
  <si>
    <t>PO BOX 43</t>
  </si>
  <si>
    <t>PO BOX 3381</t>
  </si>
  <si>
    <t>210 SOUTH WINCHESTER</t>
  </si>
  <si>
    <t>PO BOX 1591</t>
  </si>
  <si>
    <t>1801 S HIGGINS</t>
  </si>
  <si>
    <t>PO BOX 1529</t>
  </si>
  <si>
    <t>PO BOX 8300</t>
  </si>
  <si>
    <t>WI</t>
  </si>
  <si>
    <t>54602-1086</t>
  </si>
  <si>
    <t>GREAT FALLS</t>
  </si>
  <si>
    <t>BELLEVUE</t>
  </si>
  <si>
    <t>BOISE</t>
  </si>
  <si>
    <t>LA CROSSE</t>
  </si>
  <si>
    <t>CHESTER</t>
  </si>
  <si>
    <t>PABLO</t>
  </si>
  <si>
    <t>SEATTLE</t>
  </si>
  <si>
    <t>RONAN</t>
  </si>
  <si>
    <t>KALISPELL</t>
  </si>
  <si>
    <t>CONNIE WETHERN</t>
  </si>
  <si>
    <t>219 2ND AVE S</t>
  </si>
  <si>
    <t>AGAPE HOUSING LP</t>
  </si>
  <si>
    <t>Browning</t>
  </si>
  <si>
    <t>103 Crestview Drive</t>
  </si>
  <si>
    <t>716 Washington Street</t>
  </si>
  <si>
    <t>VILLAGE V LTD PARTNERSHIP</t>
  </si>
  <si>
    <t>CAROL BARNETT</t>
  </si>
  <si>
    <t xml:space="preserve">HELENA </t>
  </si>
  <si>
    <t>CENTENNIAL APARTMENTS LTD PARTNRSHP</t>
  </si>
  <si>
    <t>406-245-9998</t>
  </si>
  <si>
    <t>1566 TERRA AVENUE</t>
  </si>
  <si>
    <t>POLSON</t>
  </si>
  <si>
    <t>VICKI WESTRICK</t>
  </si>
  <si>
    <t>SENIOR HOUSING PARTNERSHIP I</t>
  </si>
  <si>
    <t>DOUGLAS RAUTHE</t>
  </si>
  <si>
    <t>FIREWEED COURT LIMITED PARTNERSHIP</t>
  </si>
  <si>
    <t>RAISING MORE MONEY</t>
  </si>
  <si>
    <t>JODY ORLANDO</t>
  </si>
  <si>
    <t>NEWPORT BEACH</t>
  </si>
  <si>
    <t>MIKE CHRISTIAN</t>
  </si>
  <si>
    <t>3101 WESTERN AVE STE 450</t>
  </si>
  <si>
    <t>ICG, LLC</t>
  </si>
  <si>
    <t>ALAN AXELROD</t>
  </si>
  <si>
    <t>2100 NORTH PACIFIC STREET</t>
  </si>
  <si>
    <t>206-709-9400 X102</t>
  </si>
  <si>
    <t>HEIGHTS CENTENNIAL APARTMENTS LTF PTNRSHP</t>
  </si>
  <si>
    <t>HEIGHTS CENTENNIAL APARTMENTS II LTD PART</t>
  </si>
  <si>
    <t>900 N MONTANA STE A-4</t>
  </si>
  <si>
    <t>OLSON PROPERTIES LLC</t>
  </si>
  <si>
    <t>CHUCK &amp; PAULA OLSON</t>
  </si>
  <si>
    <t>HAMILTON AFFORD HOUS PARTNERSHIP</t>
  </si>
  <si>
    <t>% DIST XI HRC/JIM MORTON</t>
  </si>
  <si>
    <t>406-585-9808</t>
  </si>
  <si>
    <t>619 SW Higgins Ste D</t>
  </si>
  <si>
    <t>406-532-4663</t>
  </si>
  <si>
    <t>420 5th AVE SOUTH</t>
  </si>
  <si>
    <t>Group</t>
  </si>
  <si>
    <t>406-585-9808  fax 406-586-1166</t>
  </si>
  <si>
    <t>non profit</t>
  </si>
  <si>
    <t>406-675-4491 FAX 406-675-4495</t>
  </si>
  <si>
    <t>Blaine</t>
  </si>
  <si>
    <t>FORT BELKNAP HOUSING AUTHORITY</t>
  </si>
  <si>
    <t>HARLEM</t>
  </si>
  <si>
    <t>N/A</t>
  </si>
  <si>
    <t>2500 Great Northern Ave</t>
  </si>
  <si>
    <t>MISSOULA HOUSING AUTHORITY</t>
  </si>
  <si>
    <t>406-549-4113 fax 406-549-6406</t>
  </si>
  <si>
    <t>COMMUNITY LEADERSHIP DEVELOPMENT</t>
  </si>
  <si>
    <t xml:space="preserve">BILLINGS </t>
  </si>
  <si>
    <t>406-256-3022 fax 406-256-3002</t>
  </si>
  <si>
    <t>PO BOX 1717</t>
  </si>
  <si>
    <t>RUTH BURKE</t>
  </si>
  <si>
    <t>59624-1717</t>
  </si>
  <si>
    <t>406-585-9808 fax 406-586-1166</t>
  </si>
  <si>
    <t>DAN LUEDTKE</t>
  </si>
  <si>
    <t>406-676-7653 fax 406-676-7654</t>
  </si>
  <si>
    <t>WHITEWATER CREEK INC</t>
  </si>
  <si>
    <t>TODD &amp; MARYANN PRESCOTT</t>
  </si>
  <si>
    <t>8585 WOODVINE DR #200</t>
  </si>
  <si>
    <t xml:space="preserve">HAYDEN </t>
  </si>
  <si>
    <t>208-772-0108 fax 208-772-0178</t>
  </si>
  <si>
    <t>Billings</t>
  </si>
  <si>
    <t>tribal</t>
  </si>
  <si>
    <t>non-prof/gen</t>
  </si>
  <si>
    <t>Bozeman</t>
  </si>
  <si>
    <t>small</t>
  </si>
  <si>
    <t>PATRICK KLIER</t>
  </si>
  <si>
    <t>Beaverhead</t>
  </si>
  <si>
    <t>MHA HOLDINGS LLC</t>
  </si>
  <si>
    <t>406-549-4113 EXT: 105</t>
  </si>
  <si>
    <t>GLENDIVE</t>
  </si>
  <si>
    <t>LEWISTOWN</t>
  </si>
  <si>
    <t>POPLAR</t>
  </si>
  <si>
    <t>Dawson Co Econimic Development Council</t>
  </si>
  <si>
    <t>Gene Buxel</t>
  </si>
  <si>
    <t>Dawson</t>
  </si>
  <si>
    <t>Fergus</t>
  </si>
  <si>
    <t>310 North Jordon</t>
  </si>
  <si>
    <t>Lewistown Community Development Corp</t>
  </si>
  <si>
    <t>Duane Ferdinand</t>
  </si>
  <si>
    <t>Cherry Landlake Properties, LLP</t>
  </si>
  <si>
    <t>Gehrand J. Bechard</t>
  </si>
  <si>
    <t>Roosevelt</t>
  </si>
  <si>
    <t>313 W. Valentine, PO Box 173</t>
  </si>
  <si>
    <t>PO Box 1717</t>
  </si>
  <si>
    <t>PO Box 716</t>
  </si>
  <si>
    <t>136 Tarrs Lane</t>
  </si>
  <si>
    <t>406-887-2303 Cell 406-471-5961</t>
  </si>
  <si>
    <t>Hiway 53</t>
  </si>
  <si>
    <t>660 Grant</t>
  </si>
  <si>
    <t>720 Washington St</t>
  </si>
  <si>
    <t>406-377-7792 FAX406-377-3762</t>
  </si>
  <si>
    <t>406-535-1775 FAX 406-538-3323</t>
  </si>
  <si>
    <t>PO BOX 5452</t>
  </si>
  <si>
    <t>PO BPX 5452</t>
  </si>
  <si>
    <t>13025 NE 10TH ST</t>
  </si>
  <si>
    <t>98005-2604</t>
  </si>
  <si>
    <t>PO BOX 38</t>
  </si>
  <si>
    <t>208-343-2919  FAX 208.343.2296</t>
  </si>
  <si>
    <t>TEAKETTLE VISTA II ASSOCIATES</t>
  </si>
  <si>
    <t>HIGHLAND MANOR II</t>
  </si>
  <si>
    <t>406.245.9998  FAX406-248-9399</t>
  </si>
  <si>
    <t>8TH AVENUE APARTMENTS LP</t>
  </si>
  <si>
    <t>CENTRAL COURT VILLAGE LP</t>
  </si>
  <si>
    <t>ROBERT &amp; BARBARA MORELLI</t>
  </si>
  <si>
    <t>CAMERON &amp; RUBY WORSTELL</t>
  </si>
  <si>
    <t>OREGON-LANDMARK THREE, WHP HOLDINGS</t>
  </si>
  <si>
    <t>RUBY M WORSTELL</t>
  </si>
  <si>
    <t>FOUNDATION CAPITAL CORP</t>
  </si>
  <si>
    <t>RICHARD A KLEIN</t>
  </si>
  <si>
    <t>CANYON VILLAS LTD PARTNERSHIP</t>
  </si>
  <si>
    <t>KERMIT MUELLER</t>
  </si>
  <si>
    <t>EQUITY PROPERTY MANAGEMENT LTD</t>
  </si>
  <si>
    <t>JERRY HAMLIN</t>
  </si>
  <si>
    <t>BOSTON CAPITAL</t>
  </si>
  <si>
    <t>DAN HICKEY</t>
  </si>
  <si>
    <t>RUBY WORSTELL</t>
  </si>
  <si>
    <t>THOMAS &amp; ROSEMARY MOORE</t>
  </si>
  <si>
    <t>ROBERT &amp; MARY SKORNIAK</t>
  </si>
  <si>
    <t>WILLIAM J &amp; JUDITH D MCDONALD</t>
  </si>
  <si>
    <t>RAY WILSON</t>
  </si>
  <si>
    <t>JOHN FREEBORN</t>
  </si>
  <si>
    <t>HOUSING DEVELOPMENT ASSOC</t>
  </si>
  <si>
    <t>AMERICAN BUILDING COMPANY</t>
  </si>
  <si>
    <t>SHIRLEE TIBBETS</t>
  </si>
  <si>
    <t>OLSEN JACOBS RENTAL</t>
  </si>
  <si>
    <t>CLINT JACOBS</t>
  </si>
  <si>
    <t>FIFTH ST APTS LTD</t>
  </si>
  <si>
    <t>CONNIE BOSLEY</t>
  </si>
  <si>
    <t>406-787-5865 wk 787-5382</t>
  </si>
  <si>
    <t>CHRISTENSEN BUILDING CORP</t>
  </si>
  <si>
    <t>RONALD A CHRISTENSON</t>
  </si>
  <si>
    <t>WESTWIND VILLAGE MT LTD PARTNERSHIP</t>
  </si>
  <si>
    <t>BROWNING</t>
  </si>
  <si>
    <t>BLACKFEET HOUSING LP #1</t>
  </si>
  <si>
    <t>PO BOX 449</t>
  </si>
  <si>
    <t>600 Liberty Street</t>
  </si>
  <si>
    <t>ACRE LAWN APARTMENTS II LP</t>
  </si>
  <si>
    <t>JEFFREY RUPP</t>
  </si>
  <si>
    <t>406-587-4486 FAX 406-585-3538</t>
  </si>
  <si>
    <t>COMMUNITY DEVELOPMENT INC</t>
  </si>
  <si>
    <t>FRED CORNFORTH</t>
  </si>
  <si>
    <t>CALDWELL</t>
  </si>
  <si>
    <t>WHITEFISH MOUNTAIN ASSOCIATION LLC</t>
  </si>
  <si>
    <t>208-772-0108 FAX 208-772-0178</t>
  </si>
  <si>
    <t>small proj</t>
  </si>
  <si>
    <t>HOMEWORD INC</t>
  </si>
  <si>
    <t>127 N HIGGINS STE 307</t>
  </si>
  <si>
    <t>EDWARD MACKAY</t>
  </si>
  <si>
    <t>562-434-8431</t>
  </si>
  <si>
    <t>GARY MACHACEK</t>
  </si>
  <si>
    <t>GREGORY L NEMOFF</t>
  </si>
  <si>
    <t>FARMHOUSE PARTNERS</t>
  </si>
  <si>
    <t>KENNETH W &amp; SUSAN K ALLEN</t>
  </si>
  <si>
    <t>SANDSTONE VILLAGE LIMITED</t>
  </si>
  <si>
    <t>HARDIN PARTNERS LIMITED PTNR</t>
  </si>
  <si>
    <t>PETER GERRARD</t>
  </si>
  <si>
    <t>TIM GERMAN</t>
  </si>
  <si>
    <t>PGK ENTERPRISES</t>
  </si>
  <si>
    <t>406-541-0999 FAX 406-541-0997</t>
  </si>
  <si>
    <t>406-251-5076 FAX 406-251-4941</t>
  </si>
  <si>
    <t>BRIAN &amp; LINDA STUBBS</t>
  </si>
  <si>
    <t>DAVE HAGSTROM</t>
  </si>
  <si>
    <t>SPARROW HOUSING</t>
  </si>
  <si>
    <t>BIG FORK ASSOCIATES</t>
  </si>
  <si>
    <t>Phone</t>
  </si>
  <si>
    <t>1-Bdrm</t>
  </si>
  <si>
    <t>New</t>
  </si>
  <si>
    <t>12-29-87</t>
  </si>
  <si>
    <t>Yellowstone</t>
  </si>
  <si>
    <t>1235 34TH ST</t>
  </si>
  <si>
    <t>Rehab</t>
  </si>
  <si>
    <t>Hill</t>
  </si>
  <si>
    <t>406-265-6340</t>
  </si>
  <si>
    <t>406-265-2146</t>
  </si>
  <si>
    <t>406-252-2146</t>
  </si>
  <si>
    <t>Acq/Rehab</t>
  </si>
  <si>
    <t>Cascade</t>
  </si>
  <si>
    <t>619-941-2054</t>
  </si>
  <si>
    <t>530-823-9250</t>
  </si>
  <si>
    <t>07-15-88</t>
  </si>
  <si>
    <t>825 COOPER</t>
  </si>
  <si>
    <t>08-03-88</t>
  </si>
  <si>
    <t>Gallatin</t>
  </si>
  <si>
    <t>406-259-7870   Site Manager 586-8560</t>
  </si>
  <si>
    <t>769 Fallow Lane</t>
  </si>
  <si>
    <t>10-17-88</t>
  </si>
  <si>
    <t>Lake</t>
  </si>
  <si>
    <t>719-382-8558</t>
  </si>
  <si>
    <t>430 STATE ST</t>
  </si>
  <si>
    <t>EAGLE</t>
  </si>
  <si>
    <t>9323 N GOVERNMENT WAY PMB 248</t>
  </si>
  <si>
    <t>11-16-88</t>
  </si>
  <si>
    <t>283 W FRONT ST STE 1</t>
  </si>
  <si>
    <t>412 14TH ST W</t>
  </si>
  <si>
    <t>11-30-88</t>
  </si>
  <si>
    <t>Sanders</t>
  </si>
  <si>
    <t>11-24-89</t>
  </si>
  <si>
    <t>Management 509-946-4000 Bos.Cap.617-439-0072 X161</t>
  </si>
  <si>
    <t>12-01-89</t>
  </si>
  <si>
    <t>2555 W COLLEGE ST #B</t>
  </si>
  <si>
    <t>10-23-89</t>
  </si>
  <si>
    <t>406-248-9399</t>
  </si>
  <si>
    <t>12-06-89</t>
  </si>
  <si>
    <t>12-19-89</t>
  </si>
  <si>
    <t>406-453-6166</t>
  </si>
  <si>
    <t>12-14-89</t>
  </si>
  <si>
    <t>Missoula</t>
  </si>
  <si>
    <t>406-721-4311 Manager, Judith Skornogoski</t>
  </si>
  <si>
    <t>COLLEEN MCCARTHY</t>
  </si>
  <si>
    <t>12-26-89</t>
  </si>
  <si>
    <t>12-24-90</t>
  </si>
  <si>
    <t>Flathead</t>
  </si>
  <si>
    <t>2605 MUIRFIELD COURT</t>
  </si>
  <si>
    <t>LORI DAVIDSON</t>
  </si>
  <si>
    <t>406.442.7970  FAX.406-442-0574</t>
  </si>
  <si>
    <t>GNA ASSOCIATES, LP</t>
  </si>
  <si>
    <t>SNOWCREST LIMITED PARTNERSHIP</t>
  </si>
  <si>
    <t>EAGLE ROCK RESIDENCE, LP</t>
  </si>
  <si>
    <t>ALLEN LAND CO, LLC</t>
  </si>
  <si>
    <t>530-823-9250  FAX.530.823.2169</t>
  </si>
  <si>
    <t>BRIDGER PEAKS VILLAGE ASSOC, LLP</t>
  </si>
  <si>
    <t>619 SW HIGGINS STE E</t>
  </si>
  <si>
    <t>12-21-90</t>
  </si>
  <si>
    <t>12-13-90</t>
  </si>
  <si>
    <t>Ravalli</t>
  </si>
  <si>
    <t>HELENA HOUSING AUTHORITY</t>
  </si>
  <si>
    <t>812 ABBEY ST</t>
  </si>
  <si>
    <t>12-18-91</t>
  </si>
  <si>
    <t>9</t>
  </si>
  <si>
    <t>Glacier</t>
  </si>
  <si>
    <t>6420 SW MACADAM AVE STE 100</t>
  </si>
  <si>
    <t>4110 EATON AVE #A</t>
  </si>
  <si>
    <t>83607-1780</t>
  </si>
  <si>
    <t>2725 CONTOUR RD</t>
  </si>
  <si>
    <t>40</t>
  </si>
  <si>
    <t>12-23-91</t>
  </si>
  <si>
    <t>Petroleum</t>
  </si>
  <si>
    <t>6</t>
  </si>
  <si>
    <t>4</t>
  </si>
  <si>
    <t>06-29-92</t>
  </si>
  <si>
    <t>206-455-2433  Deborah Porter</t>
  </si>
  <si>
    <t>06-18-92</t>
  </si>
  <si>
    <t>406-353-2205 fax 406-353-4975</t>
  </si>
  <si>
    <t>12-23-92</t>
  </si>
  <si>
    <t>Powell</t>
  </si>
  <si>
    <t>same</t>
  </si>
  <si>
    <t>24</t>
  </si>
  <si>
    <t>48</t>
  </si>
  <si>
    <t>12-30-92</t>
  </si>
  <si>
    <t>16</t>
  </si>
  <si>
    <t>12-29-92</t>
  </si>
  <si>
    <t>Valley</t>
  </si>
  <si>
    <t>406-228-8412</t>
  </si>
  <si>
    <t>SCOBEY</t>
  </si>
  <si>
    <t>59263-0756</t>
  </si>
  <si>
    <t>PO BOX 756</t>
  </si>
  <si>
    <t>406-234-3433</t>
  </si>
  <si>
    <t>12-15-93</t>
  </si>
  <si>
    <t>406-251-5544</t>
  </si>
  <si>
    <t>12-21-93</t>
  </si>
  <si>
    <t>Carbon</t>
  </si>
  <si>
    <t>1</t>
  </si>
  <si>
    <t>12-28-93</t>
  </si>
  <si>
    <t>PFI SOUTH FORTY LTD/ LENNAR AFFORDABLE</t>
  </si>
  <si>
    <t>214 4TH ST SOUTHWEST</t>
  </si>
  <si>
    <t>406-265-6349</t>
  </si>
  <si>
    <t>12-22-93</t>
  </si>
  <si>
    <t>12-29-93</t>
  </si>
  <si>
    <t>Toole</t>
  </si>
  <si>
    <t>12</t>
  </si>
  <si>
    <t>12 S 6TH ST STE 715</t>
  </si>
  <si>
    <t>36</t>
  </si>
  <si>
    <t>PO BOX 146</t>
  </si>
  <si>
    <t>12-01-94</t>
  </si>
  <si>
    <t>12-15-94</t>
  </si>
  <si>
    <t>12-28-94</t>
  </si>
  <si>
    <t>Rosebud</t>
  </si>
  <si>
    <t>208-343-2919</t>
  </si>
  <si>
    <t>Treasure</t>
  </si>
  <si>
    <t>Sweet Grass</t>
  </si>
  <si>
    <t>Park</t>
  </si>
  <si>
    <t>406-542-0004</t>
  </si>
  <si>
    <t>12-29-94</t>
  </si>
  <si>
    <t>05-10-95</t>
  </si>
  <si>
    <t>07-27-95</t>
  </si>
  <si>
    <t>406-761-0018</t>
  </si>
  <si>
    <t>406-442-7178 (406-442-7187 F)</t>
  </si>
  <si>
    <t xml:space="preserve"> </t>
  </si>
  <si>
    <t>Big Horn</t>
  </si>
  <si>
    <t>608-782-4488 (608-782-4478 F)</t>
  </si>
  <si>
    <t>406-585-9808 (406-586-1166 F)</t>
  </si>
  <si>
    <t>Liberty</t>
  </si>
  <si>
    <t>406-759-5650(406-759-5496F)</t>
  </si>
  <si>
    <t>406-256-3002(406-256-2387F)</t>
  </si>
  <si>
    <t>Non-Profit</t>
  </si>
  <si>
    <t>406-675-4491(406-675-4495F)</t>
  </si>
  <si>
    <t>Stillwater</t>
  </si>
  <si>
    <t>non-profit</t>
  </si>
  <si>
    <t>442-7178 (442-7187 fax)</t>
  </si>
  <si>
    <t>4110 EATON AVENUE, STE A</t>
  </si>
  <si>
    <t>2555 W COLLEGE STE B</t>
  </si>
  <si>
    <t>127 N HIGGINS # 307</t>
  </si>
  <si>
    <t>5014 ELK HILLS</t>
  </si>
  <si>
    <t>Madison</t>
  </si>
  <si>
    <t>585-9808 (585-1166 fax)</t>
  </si>
  <si>
    <t>Silver Bow</t>
  </si>
  <si>
    <t>406-487-5070  fax  406-487-5170</t>
  </si>
  <si>
    <t>OH</t>
  </si>
  <si>
    <t>Non-profit</t>
  </si>
  <si>
    <t>Owners</t>
  </si>
  <si>
    <t>NP-FP Ptrshp</t>
  </si>
  <si>
    <t>Elderly</t>
  </si>
  <si>
    <t>307-672-0407  fax-307-672-9294</t>
  </si>
  <si>
    <t>MILES LP</t>
  </si>
  <si>
    <t>Lincoln</t>
  </si>
  <si>
    <t>406-251-5076 fax-406-251-4941</t>
  </si>
  <si>
    <t>6420 SW MACADAM, SUITE 100</t>
  </si>
  <si>
    <t>503-892-4646 fax-503-892-3636</t>
  </si>
  <si>
    <t>SALISH &amp; KOOTENAI  LP</t>
  </si>
  <si>
    <t>406-675-4495</t>
  </si>
  <si>
    <t>SALISH &amp; KOOTENAI LIMITED PARTNERSHIP</t>
  </si>
  <si>
    <t>For-profit</t>
  </si>
  <si>
    <t>Tribal</t>
  </si>
  <si>
    <t>208-461-0022 fax-208-461-0033</t>
  </si>
  <si>
    <t>406-676-5900 fax-406-676-5902</t>
  </si>
  <si>
    <t>406-338-5031</t>
  </si>
  <si>
    <t>406-752-6565 fax-406-752-6582</t>
  </si>
  <si>
    <t>ACRE LAWN APARTMENTS LLP</t>
  </si>
  <si>
    <t>SALISH &amp; KOOTENAI LIMITED PARTNERSHIP 3</t>
  </si>
  <si>
    <t>BOZEMAN LIMITED PARTNERS</t>
  </si>
  <si>
    <t>406-585-9808 fax-406-586-1166</t>
  </si>
  <si>
    <t>406-238-4830 fax-406-238-4817</t>
  </si>
  <si>
    <t>608-782-4488 fax-608-782-4478</t>
  </si>
  <si>
    <t>406-728-3710 fax-406-728-7680</t>
  </si>
  <si>
    <t>406-447-1680 fax-406-447-1629</t>
  </si>
  <si>
    <t>For Profit</t>
  </si>
  <si>
    <t>Custer</t>
  </si>
  <si>
    <t>1219/2003</t>
  </si>
  <si>
    <t>19/19/2001</t>
  </si>
  <si>
    <t>OR</t>
  </si>
  <si>
    <t>MT</t>
  </si>
  <si>
    <t>CO</t>
  </si>
  <si>
    <t>WA</t>
  </si>
  <si>
    <t>CA</t>
  </si>
  <si>
    <t>WY</t>
  </si>
  <si>
    <t>MN</t>
  </si>
  <si>
    <t>ID</t>
  </si>
  <si>
    <t>BOZEMAN</t>
  </si>
  <si>
    <t>950 BOULEVARD AVE</t>
  </si>
  <si>
    <t>1165 17th ST</t>
  </si>
  <si>
    <t>MILES CITY</t>
  </si>
  <si>
    <t>PO BOX 22006</t>
  </si>
  <si>
    <t>9425 PEACEFUL VALLEY RD</t>
  </si>
  <si>
    <t>ROADRUNNER RESIDENCE LP</t>
  </si>
  <si>
    <t>812 ABBEY STREET</t>
  </si>
  <si>
    <t>406-442-7970 fax-406-442-0574</t>
  </si>
  <si>
    <t>PTARMIGAN RESIDENCE LIMITED PARTNERSHIP</t>
  </si>
  <si>
    <t>406-443-1340 fax-406-443-7666</t>
  </si>
  <si>
    <t>Meagher</t>
  </si>
  <si>
    <t>Meagher County Senior Center</t>
  </si>
  <si>
    <t>Beth Hunt</t>
  </si>
  <si>
    <t>101 1st Ave SE</t>
  </si>
  <si>
    <t>WHT SULPHUR SPRNG</t>
  </si>
  <si>
    <t>406-547-3651</t>
  </si>
  <si>
    <t>Lafe Haugen</t>
  </si>
  <si>
    <t>Hwy 39, PO Box 327</t>
  </si>
  <si>
    <t>LAME DEER</t>
  </si>
  <si>
    <t>406-477-6419 FAX 406-477-6229</t>
  </si>
  <si>
    <t>10 Apple Way Drive</t>
  </si>
  <si>
    <t>406-251-5076 FAX 406-541-4944</t>
  </si>
  <si>
    <t>619 SW Higgins, Suite E</t>
  </si>
  <si>
    <t>119 S. Russell St</t>
  </si>
  <si>
    <t>Missoula Housing Authority</t>
  </si>
  <si>
    <t>Andrea Davis</t>
  </si>
  <si>
    <t>1235 34th St</t>
  </si>
  <si>
    <t>406-549-4113 FAX 406-549-6406</t>
  </si>
  <si>
    <t>DONNA &amp; MELVIN SHULAND</t>
  </si>
  <si>
    <t>2621 W COLLEGE STE D</t>
  </si>
  <si>
    <t>LAUREL APARTMENTS LP</t>
  </si>
  <si>
    <t>406-245-9998 fax-406-248-9399</t>
  </si>
  <si>
    <t>NHS APARTMENTS LP</t>
  </si>
  <si>
    <t>406-245-9998 fax-248-9399</t>
  </si>
  <si>
    <t>AUTUMN RUN APARTMENTS LP</t>
  </si>
  <si>
    <t>425-455-2433 fax-425-637-1216</t>
  </si>
  <si>
    <t>406-728-5066 fax-406-721-1186</t>
  </si>
  <si>
    <t>KALISPELL MONTANA PARTNERS LP</t>
  </si>
  <si>
    <t>420 5TH AVE SOUTH</t>
  </si>
  <si>
    <t>general</t>
  </si>
  <si>
    <t>GENE LEUWER</t>
  </si>
  <si>
    <t>406-447-1680 FAX 406-447-1629</t>
  </si>
  <si>
    <t>S &amp; K LIMITED PARTNERSHIP #4</t>
  </si>
  <si>
    <t>208-459-8522 FAX 208-459-9692</t>
  </si>
  <si>
    <t>SPARROW LANE ASSOCIATES II A MONTANA LP</t>
  </si>
  <si>
    <t>MEADOWOOD APARTMENTS LP</t>
  </si>
  <si>
    <t>406-446-2380 FAX 406-446-3860</t>
  </si>
  <si>
    <t>FARMHOUSE PARTNERS - COLLEGE LP</t>
  </si>
  <si>
    <t>406-585-9808 FAX 406-586-1166</t>
  </si>
  <si>
    <t>MOUNTAIN SENIORS LP</t>
  </si>
  <si>
    <t>HAYDEN</t>
  </si>
  <si>
    <t>P O BOX 8300</t>
  </si>
  <si>
    <t>406-752-6565 FAX 406-752-6582</t>
  </si>
  <si>
    <t>POLSON SUNNY SLOPE VISTA ASSOCIATES</t>
  </si>
  <si>
    <t>MOUNTAIN VIEW ASSOCIATES LP</t>
  </si>
  <si>
    <t>BITTERROOT COMMONS LP</t>
  </si>
  <si>
    <t>WHITEFISH MOUNTAIN ASSOCIATES</t>
  </si>
  <si>
    <t>TODD &amp; MARY ANN PRESCOTT</t>
  </si>
  <si>
    <t>JASON ADAMS</t>
  </si>
  <si>
    <t>JOHN GRADY</t>
  </si>
  <si>
    <t>1915 MORENA BOULEVARD</t>
  </si>
  <si>
    <t>MONFRIC MANAGEMENT COMPANY</t>
  </si>
  <si>
    <t>SAN DIEGO</t>
  </si>
  <si>
    <t>2325 Avenue C</t>
  </si>
  <si>
    <t>CHRISTOPHER F. DOWNS, PRESIDENT</t>
  </si>
  <si>
    <t>TOM &amp; DELAINE BUTORAC</t>
  </si>
  <si>
    <t>406-523-4237 fax-406-523-4317</t>
  </si>
  <si>
    <t>KALISPELL SENIOR</t>
  </si>
  <si>
    <t>EDWARD MACKEY</t>
  </si>
  <si>
    <t>PO BOX 6314</t>
  </si>
  <si>
    <t>AUBURN</t>
  </si>
  <si>
    <t>406-728-7784 fax-406-543-2304</t>
  </si>
  <si>
    <t>307-672-0407 fax-307-672-9294</t>
  </si>
  <si>
    <t>BELGRADE PARTNERS LP</t>
  </si>
  <si>
    <t>PAUL GERRARD</t>
  </si>
  <si>
    <t>406-248-9998</t>
  </si>
  <si>
    <t>BRUSH MEADOW APARTMENTS LP</t>
  </si>
  <si>
    <t>MOUNTAIN VIEW APARTMENTS LP</t>
  </si>
  <si>
    <t>ROBERT BLAIR</t>
  </si>
  <si>
    <t>4936 RODMAN ST NW</t>
  </si>
  <si>
    <t xml:space="preserve">WASHINGTON </t>
  </si>
  <si>
    <t>DC</t>
  </si>
  <si>
    <t>202-364-0300</t>
  </si>
  <si>
    <t>612-338-7173</t>
  </si>
  <si>
    <t>PIONEER APTS LP</t>
  </si>
  <si>
    <t>WALTER WARE</t>
  </si>
  <si>
    <t>5712 MALAGE PLACE</t>
  </si>
  <si>
    <t>LONG BEACH</t>
  </si>
  <si>
    <t>MAIN STREET H &amp; G APARTMENTS LP</t>
  </si>
  <si>
    <t>406-676-5900 fax 406-676-5902</t>
  </si>
  <si>
    <t>406-622-5018</t>
  </si>
  <si>
    <t>406-257-5745</t>
  </si>
  <si>
    <t>MARTY FRANZ</t>
  </si>
  <si>
    <t>283 W FRONT STE 1</t>
  </si>
  <si>
    <t>406-541-0999 FAX406-541-0997</t>
  </si>
  <si>
    <t>homeWORD</t>
  </si>
  <si>
    <t>Sparrow Development</t>
  </si>
  <si>
    <t>Tim German</t>
  </si>
  <si>
    <t>127 N. HIGGINS, #307</t>
  </si>
  <si>
    <t>BROWNIG</t>
  </si>
  <si>
    <t>406-447-1680</t>
  </si>
  <si>
    <t>406-251-5076</t>
  </si>
  <si>
    <t>TIMBERLINE APARTMENTS LP</t>
  </si>
  <si>
    <t>CONNIE M BOSLEY</t>
  </si>
  <si>
    <t>POLSON II LIMITED</t>
  </si>
  <si>
    <t>WHITEFISH LIMITED</t>
  </si>
  <si>
    <t>WESTGATE SENIOR ASSOCIATES</t>
  </si>
  <si>
    <t>HEATHER MCMILAN/ANDREA DAVIS</t>
  </si>
  <si>
    <t>127 N HIGGINS, STE 307</t>
  </si>
  <si>
    <t xml:space="preserve">406-532-4663 </t>
  </si>
  <si>
    <t>HEATHER MCMILAN/ ANDREA DAVIS</t>
  </si>
  <si>
    <t>34951 CREEKSIDE LANE</t>
  </si>
  <si>
    <t>406-676-7653 FAX 406-676-7654</t>
  </si>
  <si>
    <t>PO BOX 3381/109 1/2 S 32ND ST</t>
  </si>
  <si>
    <t>406-675-4491X 1506 fax-406-675-4495</t>
  </si>
  <si>
    <t>STEADFAST MANAGEMENT CO., INC</t>
  </si>
  <si>
    <t>RODNEY EMERY</t>
  </si>
  <si>
    <t>STEADFAST MANAGEMENT CO</t>
  </si>
  <si>
    <t>4343 VON KARMAN AVE STE 300</t>
  </si>
  <si>
    <t>949-852-0700 X 1702</t>
  </si>
  <si>
    <t>110 - 100TH AVE NE STE 550</t>
  </si>
  <si>
    <t xml:space="preserve">2635 Tradewind Lane </t>
  </si>
  <si>
    <t>FARMHOUSE PARTNERS-BAXTER LP</t>
  </si>
  <si>
    <t>WILLIAM C DABNEY</t>
  </si>
  <si>
    <t>FARMHOUSE PARTNERS - BIG SKY LP</t>
  </si>
  <si>
    <t>WILLIAM C DABNEY III</t>
  </si>
  <si>
    <t>BIG SKY HP/NWMHRC LP</t>
  </si>
  <si>
    <t>619-276-6271 FAX 619-275-1094</t>
  </si>
  <si>
    <t>283 W FRONT STE #1</t>
  </si>
  <si>
    <t>406-541-0999 X2 FAX 406-541-0997</t>
  </si>
  <si>
    <t>WILLIAM C  DABNEY III</t>
  </si>
  <si>
    <t>CAL KUNKEL</t>
  </si>
  <si>
    <t>SAH BURLINGTON SQUARE LI</t>
  </si>
  <si>
    <t>503-246-3303  FAX 949-777-8412</t>
  </si>
  <si>
    <t>HRC COTTAGES</t>
  </si>
  <si>
    <t>406-728-3710  FAX 406-728-3710</t>
  </si>
  <si>
    <t>6238 GOLDEN EAGLE WAY</t>
  </si>
  <si>
    <t>CELL406-655-4646 , 406-248-2670</t>
  </si>
  <si>
    <t>STEADFAST COMPANIES</t>
  </si>
  <si>
    <t>RODNEY F EMERY</t>
  </si>
  <si>
    <t>949-852-0700 X1702  FAX 949-852-0143</t>
  </si>
  <si>
    <t>949-852-0700 X 1702  FAX 949-852-0143</t>
  </si>
  <si>
    <t>619-276-6271  FAX 619-275-1094</t>
  </si>
  <si>
    <t>FARMHOUSE PARTNERS -BOZEMAN LP</t>
  </si>
  <si>
    <t>FARMHOUSE PARTNERS-COMSTOCK III,LP</t>
  </si>
  <si>
    <t>COLUMBIA CILLA HP/NWMHRI LP</t>
  </si>
  <si>
    <t>619-941-2054 FAX 619-275-1094</t>
  </si>
  <si>
    <t>406-338-7942 FAX 406-338-3873</t>
  </si>
  <si>
    <t>PACIFIC DEVELOPERS GROUP</t>
  </si>
  <si>
    <t>RON TUNING</t>
  </si>
  <si>
    <t>403 EAST STATE ST STE 100</t>
  </si>
  <si>
    <t>208-461-0022  FAX 208-461-3267</t>
  </si>
  <si>
    <t>PACIFIC DEVELOPMENT GROUP</t>
  </si>
  <si>
    <t xml:space="preserve">EAGLE </t>
  </si>
  <si>
    <t>208-461-0022   FAX 208-461-3267</t>
  </si>
  <si>
    <t xml:space="preserve">406-251-5076  </t>
  </si>
  <si>
    <t>310 NORTH JORDAN</t>
  </si>
  <si>
    <t>INVESTORS CAPITAL GROUP</t>
  </si>
  <si>
    <t>206-859-4606</t>
  </si>
  <si>
    <t>AMERICAN COVENANT SENIOR HOUSING</t>
  </si>
  <si>
    <t>PETER WASSERMAN</t>
  </si>
  <si>
    <t>4206 ZERMATT DRIVE</t>
  </si>
  <si>
    <t>SMYRNA</t>
  </si>
  <si>
    <t>GA</t>
  </si>
  <si>
    <t>404-924-6482</t>
  </si>
  <si>
    <t>406-442-7178</t>
  </si>
  <si>
    <t>WYNN JURAN</t>
  </si>
  <si>
    <t>166 BAREFOOT CIRCLE</t>
  </si>
  <si>
    <t>BONITA SPRINGS</t>
  </si>
  <si>
    <t>FL</t>
  </si>
  <si>
    <t>DARLINTON MANOR HP/HRDC LP</t>
  </si>
  <si>
    <t>619-276-6271</t>
  </si>
  <si>
    <t>ROCKY MOUNTAIN DEVELOPMENT COUNCIL</t>
  </si>
  <si>
    <t>131 SOUTH HIGGINS STE P-1</t>
  </si>
  <si>
    <t>SAM OLIVER</t>
  </si>
  <si>
    <t>HEATHER MCMILIN</t>
  </si>
  <si>
    <t>FARMHOUSE PARTNERS-BELGRADE LP</t>
  </si>
  <si>
    <t>FARMHOUSE PARTNERS-BELGRADE III LP</t>
  </si>
  <si>
    <t>566 TURNER LANE</t>
  </si>
  <si>
    <t>ADM WHITE LLC</t>
  </si>
  <si>
    <t>DOUGLAS WHITE</t>
  </si>
  <si>
    <t>HEATHER MCMILAN</t>
  </si>
  <si>
    <t>FORT BELKNAP INDIAN COMMUNITY</t>
  </si>
  <si>
    <t>TRACEY KING, PRESIDENT</t>
  </si>
  <si>
    <t>RR 1 BOX 66</t>
  </si>
  <si>
    <t>RR1, BOX 66</t>
  </si>
  <si>
    <t>406-353-2265</t>
  </si>
  <si>
    <t>FORT PECK HOMES 1</t>
  </si>
  <si>
    <t>IVA GRAINGER</t>
  </si>
  <si>
    <t>PO BOX 667/503 6TH AVE EAST</t>
  </si>
  <si>
    <t>406-768-5176</t>
  </si>
  <si>
    <t>FRASER TOWER PARTNERS RLLP</t>
  </si>
  <si>
    <t>CHRIS DOWNS</t>
  </si>
  <si>
    <t>1743 WAZEE ST, SUITE 450</t>
  </si>
  <si>
    <t>303-832-4400</t>
  </si>
  <si>
    <t>GOLD DUST LP</t>
  </si>
  <si>
    <t>ANDREA DAVIS</t>
  </si>
  <si>
    <t>406-531-4663</t>
  </si>
  <si>
    <t>GREEN MEADOW HP/NWMHRI LP</t>
  </si>
  <si>
    <t>619-276-6271 fax 619-275-1094</t>
  </si>
  <si>
    <t>619-276-6271 FAX 619-375-1094</t>
  </si>
  <si>
    <t>RICHARD KING</t>
  </si>
  <si>
    <t>406-338-7942</t>
  </si>
  <si>
    <t>LORI DAVIS</t>
  </si>
  <si>
    <t>406-860-2387</t>
  </si>
  <si>
    <t>LENOX FLATS LP</t>
  </si>
  <si>
    <t>ANDREA DAVIS/ DIRECTOR</t>
  </si>
  <si>
    <t>127 NORTH HIGGINS STE 307</t>
  </si>
  <si>
    <t>406-532-4663  FAX 406-541-0239</t>
  </si>
  <si>
    <t>208-687-5461</t>
  </si>
  <si>
    <t>MACLAY COMMONS ASSOCIATES LP</t>
  </si>
  <si>
    <t>406-549-4113 X105</t>
  </si>
  <si>
    <t>FARMHOUSE PARTNERS-WEST LP</t>
  </si>
  <si>
    <t>MERDIAN POINTE LLC</t>
  </si>
  <si>
    <t>406-248-2670</t>
  </si>
  <si>
    <t>MERIDIAN POINTE LLC</t>
  </si>
  <si>
    <t>JUNE VALLE</t>
  </si>
  <si>
    <t>330 W VICTORIA ST</t>
  </si>
  <si>
    <t>GARDENA</t>
  </si>
  <si>
    <t>424-258-2852</t>
  </si>
  <si>
    <t>MOUNTAIN VIEW ASSOCIATES II LP</t>
  </si>
  <si>
    <t>MOUNTAIN VIEW III LP</t>
  </si>
  <si>
    <t>NATE RICHMOND</t>
  </si>
  <si>
    <t>238 W FRONT ST STE 1</t>
  </si>
  <si>
    <t>OUELLETTE PLACE LP</t>
  </si>
  <si>
    <t>ORCHARD GARDENS LP</t>
  </si>
  <si>
    <t xml:space="preserve">1235 34TH ST </t>
  </si>
  <si>
    <t>PHEASANT GLEN LP</t>
  </si>
  <si>
    <t>406-549-1337</t>
  </si>
  <si>
    <t>BITTERROOT HOUSING LP</t>
  </si>
  <si>
    <t>949-852-0700 X1702</t>
  </si>
  <si>
    <t>ROSE PARK PLAZA PARTNERS, LTD, RLLLP</t>
  </si>
  <si>
    <t>1743 WAZEE ST STE 450</t>
  </si>
  <si>
    <t>RUSSELL SQUARE APARTMENTS LP</t>
  </si>
  <si>
    <t>SAGE TOWER PARTNERS RLLP</t>
  </si>
  <si>
    <t>1732 WAZEE ST, SUITE 450</t>
  </si>
  <si>
    <t>JIM DRISHINKSI</t>
  </si>
  <si>
    <t>SHADOW MOUNTAIN LLC</t>
  </si>
  <si>
    <t>406-655-4646</t>
  </si>
  <si>
    <t>MICHAEL CHRISTIAN</t>
  </si>
  <si>
    <t>N CHEYENNE SHOULDERBLADE LP #1</t>
  </si>
  <si>
    <t>SOLSTICE DEVELOPMENT LP</t>
  </si>
  <si>
    <t>406-532-5663</t>
  </si>
  <si>
    <t>South Forty Partners LP</t>
  </si>
  <si>
    <t>GREG DUNFIELD</t>
  </si>
  <si>
    <t>1700 7TH AVE STE 2075</t>
  </si>
  <si>
    <t>206-832-1308</t>
  </si>
  <si>
    <t>SPARROW LANE ASSOCIATES LP</t>
  </si>
  <si>
    <t>430 E STATE ST STE 100</t>
  </si>
  <si>
    <t>208-461-0022 X3010</t>
  </si>
  <si>
    <t>SPRING CREEK I LP</t>
  </si>
  <si>
    <t>719-540-3790</t>
  </si>
  <si>
    <t>VALLEY VIEW HP/NWMHRI LP</t>
  </si>
  <si>
    <t>Jefferson</t>
  </si>
  <si>
    <t>1535 Liberty Lane</t>
  </si>
  <si>
    <t>ROCK MOUNTAIN DEVELOPMENT COUNCIL</t>
  </si>
  <si>
    <t>Box 1717</t>
  </si>
  <si>
    <t>Solstice</t>
  </si>
  <si>
    <t>1513 Liberty Lane</t>
  </si>
  <si>
    <t>homeWORD Inc</t>
  </si>
  <si>
    <t>Heather McMilan</t>
  </si>
  <si>
    <t>127 N. Higgins #307</t>
  </si>
  <si>
    <t>Acq Rehab</t>
  </si>
  <si>
    <t>Morena Development</t>
  </si>
  <si>
    <t>John Grady</t>
  </si>
  <si>
    <t>1915 Morena Blvd</t>
  </si>
  <si>
    <t>Elderly +55</t>
  </si>
  <si>
    <t>619 SW Higgins Ave Suite E</t>
  </si>
  <si>
    <t>Meadowlands Apartments</t>
  </si>
  <si>
    <t>Elderly +62</t>
  </si>
  <si>
    <t>City &amp; Co of Butte-Silver Bow</t>
  </si>
  <si>
    <t>Karen Byrnes</t>
  </si>
  <si>
    <t>155 W Granite St</t>
  </si>
  <si>
    <t>406-497-6220</t>
  </si>
  <si>
    <t>Lolo Vista Apartments</t>
  </si>
  <si>
    <t>Lolo</t>
  </si>
  <si>
    <t>Summit Housing Group</t>
  </si>
  <si>
    <t>Nate Richmond</t>
  </si>
  <si>
    <t>283 W Front St Suite 1</t>
  </si>
  <si>
    <t>Buffalo Court</t>
  </si>
  <si>
    <t>Havre</t>
  </si>
  <si>
    <t>Dist IV HRDC</t>
  </si>
  <si>
    <t>Karen Thomas</t>
  </si>
  <si>
    <t xml:space="preserve">2229 5th </t>
  </si>
  <si>
    <t>406-265-6743</t>
  </si>
  <si>
    <t>TCAP</t>
  </si>
  <si>
    <t>San Diego</t>
  </si>
  <si>
    <t>No. of Units</t>
  </si>
  <si>
    <t>Total # of units</t>
  </si>
  <si>
    <t>BENEFIS HEALTH SYSTEM/MOUNTAIN PLAINS EQUITY</t>
  </si>
  <si>
    <t>503 6th Ave E, PO Box 667</t>
  </si>
  <si>
    <t>DOUGLAS DAVENPORT</t>
  </si>
  <si>
    <t>1101 26TH ST S</t>
  </si>
  <si>
    <t xml:space="preserve">GREAT FALLS </t>
  </si>
  <si>
    <t>406-455-4732</t>
  </si>
  <si>
    <t>TWO RIVERS PLACE LP</t>
  </si>
  <si>
    <t>JIM MORTON</t>
  </si>
  <si>
    <t>Haggerty Lane Apartments</t>
  </si>
  <si>
    <t>Sweet Grass Apartments</t>
  </si>
  <si>
    <t>Soroptimist Village</t>
  </si>
  <si>
    <t>Parkview Village</t>
  </si>
  <si>
    <t>Depot Place</t>
  </si>
  <si>
    <t>910 Evans Ave</t>
  </si>
  <si>
    <t>Shelby</t>
  </si>
  <si>
    <t>Sidney</t>
  </si>
  <si>
    <t>219 Center Street</t>
  </si>
  <si>
    <t>Richland</t>
  </si>
  <si>
    <t>Buffalo Grass</t>
  </si>
  <si>
    <t>Hillview Apartments</t>
  </si>
  <si>
    <t>Fort Peck Sustainable Village</t>
  </si>
  <si>
    <t>MT Preservation HV, LLLP</t>
  </si>
  <si>
    <t>Greg Dunfield</t>
  </si>
  <si>
    <t>1601 Second Ave Ste 1080</t>
  </si>
  <si>
    <t>Seattle</t>
  </si>
  <si>
    <t>206-745-3699</t>
  </si>
  <si>
    <t>Cut Bank</t>
  </si>
  <si>
    <t>Buffalo Grass Apts, LLLP</t>
  </si>
  <si>
    <t>Brad Elg</t>
  </si>
  <si>
    <t>210 W Mallard Dr, Ste A</t>
  </si>
  <si>
    <t>Boise</t>
  </si>
  <si>
    <t>208-947-7050</t>
  </si>
  <si>
    <t>Poplar</t>
  </si>
  <si>
    <t>Interated Solutions LP #1</t>
  </si>
  <si>
    <t>Thomas J. Anketell III</t>
  </si>
  <si>
    <t>PO Box 1582</t>
  </si>
  <si>
    <t xml:space="preserve">Poplar </t>
  </si>
  <si>
    <t>406-768-2335</t>
  </si>
  <si>
    <t>Wolf Point Village LLP</t>
  </si>
  <si>
    <t>Jonathan Reed</t>
  </si>
  <si>
    <t>636 Echo Lake</t>
  </si>
  <si>
    <t>Colorado Springs</t>
  </si>
  <si>
    <t>505-250-7570</t>
  </si>
  <si>
    <t>Wolf Point</t>
  </si>
  <si>
    <t>Farmhouse Partners- Haggerty LP</t>
  </si>
  <si>
    <t>Dab Dabney</t>
  </si>
  <si>
    <t>2555 W. College Suite B</t>
  </si>
  <si>
    <t>406-586-1166</t>
  </si>
  <si>
    <t>Sweet grass Apts LP</t>
  </si>
  <si>
    <t>210 W Mallard Dr Ste A</t>
  </si>
  <si>
    <t>Soroptimist Village Inc</t>
  </si>
  <si>
    <t>Christi Fisher</t>
  </si>
  <si>
    <t>PO Box 498</t>
  </si>
  <si>
    <t>406-868-7514</t>
  </si>
  <si>
    <t>Blackfeet Housing LP #5</t>
  </si>
  <si>
    <t>Chancy Kittson</t>
  </si>
  <si>
    <t>1200 SW Boundary PO box 449</t>
  </si>
  <si>
    <t>Parview Village LLLP</t>
  </si>
  <si>
    <t>Paul Groshart</t>
  </si>
  <si>
    <t>1032 6th St SW</t>
  </si>
  <si>
    <t>Mt</t>
  </si>
  <si>
    <t>406-433-1978 X3</t>
  </si>
  <si>
    <t>Center Street LP</t>
  </si>
  <si>
    <t>Alex Burhalter</t>
  </si>
  <si>
    <t>619 SW Higgins Ave Ste E</t>
  </si>
  <si>
    <t>Apsaalooke Warrior</t>
  </si>
  <si>
    <t>Sunset Village</t>
  </si>
  <si>
    <t>Voyageur Apartments</t>
  </si>
  <si>
    <t>Crow Agency</t>
  </si>
  <si>
    <t>Glendive</t>
  </si>
  <si>
    <t>Apsaalooke Warrior Apartments, LLLP</t>
  </si>
  <si>
    <t>Karl Little Owl</t>
  </si>
  <si>
    <t>Po Box 99</t>
  </si>
  <si>
    <t>406-638-3715</t>
  </si>
  <si>
    <t>Pearson Place LP</t>
  </si>
  <si>
    <t>Alex Burkhalter</t>
  </si>
  <si>
    <t>5014 Elk Hills Ct</t>
  </si>
  <si>
    <t>406-203-1558</t>
  </si>
  <si>
    <t>Sunset Village LLLP</t>
  </si>
  <si>
    <t>1032 6th Street SW</t>
  </si>
  <si>
    <t xml:space="preserve">Sidney </t>
  </si>
  <si>
    <t>406-433-1978</t>
  </si>
  <si>
    <t>Voyageur Apartments LP</t>
  </si>
  <si>
    <t>Dan Billmark</t>
  </si>
  <si>
    <t>2550 University Ave Ste 330N</t>
  </si>
  <si>
    <t>St. Paul</t>
  </si>
  <si>
    <t>651-645-7271</t>
  </si>
  <si>
    <t>Cedar View</t>
  </si>
  <si>
    <t>Malta</t>
  </si>
  <si>
    <t>Phillips</t>
  </si>
  <si>
    <t>MT Preservation Cedar LLLp</t>
  </si>
  <si>
    <t>1601 Second Ave Suite 1080</t>
  </si>
  <si>
    <t>Chippewa Cree Homes I</t>
  </si>
  <si>
    <t>Box Elder</t>
  </si>
  <si>
    <t>Chippewa Cree Housing LP 1</t>
  </si>
  <si>
    <t>Jason Belcourt</t>
  </si>
  <si>
    <t>RR 1 Box 544</t>
  </si>
  <si>
    <t>406-395-4370</t>
  </si>
  <si>
    <t>No. of Buildings</t>
  </si>
  <si>
    <t xml:space="preserve"> ZIP</t>
  </si>
  <si>
    <t>4034 Elizabeth Warren</t>
  </si>
  <si>
    <t>11851 Lolo Vista Dr</t>
  </si>
  <si>
    <t>1992 Cottage</t>
  </si>
  <si>
    <t>724 St. Mary Ave.</t>
  </si>
  <si>
    <t>Apsen Place LP</t>
  </si>
  <si>
    <t>1801 S Higgins Ave</t>
  </si>
  <si>
    <t>202 Ohio; 241 Curtis</t>
  </si>
  <si>
    <t>335 Sioux Lane</t>
  </si>
  <si>
    <t>215 E. Pennsylvania Ave</t>
  </si>
  <si>
    <t>Cottage Park (Sentinal Village Apartments)</t>
  </si>
  <si>
    <t>Yellowstone Commons (Pearson Place)</t>
  </si>
  <si>
    <t>Antelope Court</t>
  </si>
  <si>
    <t>Gallatin Forks</t>
  </si>
  <si>
    <t>Guardian Apartments</t>
  </si>
  <si>
    <t>Stoneridge Apartments</t>
  </si>
  <si>
    <t>402 W Main St</t>
  </si>
  <si>
    <t>520 Logan St</t>
  </si>
  <si>
    <t>Manhattan</t>
  </si>
  <si>
    <t>Helena</t>
  </si>
  <si>
    <t>River Ridge</t>
  </si>
  <si>
    <t>Sweet Grass Commons</t>
  </si>
  <si>
    <t>1917A North Merrill Avenue</t>
  </si>
  <si>
    <t>1 Pretty Eagle Ave</t>
  </si>
  <si>
    <t>251 Stonegate Dr</t>
  </si>
  <si>
    <t>405 St Joseph Dr</t>
  </si>
  <si>
    <t>Project County</t>
  </si>
  <si>
    <t xml:space="preserve">Roosevelt </t>
  </si>
  <si>
    <t>HIll</t>
  </si>
  <si>
    <t xml:space="preserve">Silver Bow </t>
  </si>
  <si>
    <t xml:space="preserve">Yellowstone </t>
  </si>
  <si>
    <t>Deer Lodge</t>
  </si>
  <si>
    <t xml:space="preserve">Lake </t>
  </si>
  <si>
    <t>Chouteau</t>
  </si>
  <si>
    <t xml:space="preserve">Daniels </t>
  </si>
  <si>
    <t>Sheridan</t>
  </si>
  <si>
    <t xml:space="preserve">Stillwater </t>
  </si>
  <si>
    <t>Freedoms Path</t>
  </si>
  <si>
    <t>Red Fox</t>
  </si>
  <si>
    <t>204 West Jefferson</t>
  </si>
  <si>
    <t>3687 Veterans Dr</t>
  </si>
  <si>
    <t>1150 Grand Drive</t>
  </si>
  <si>
    <t>Belgrade</t>
  </si>
  <si>
    <t>Big Fork</t>
  </si>
  <si>
    <t>Hamilton</t>
  </si>
  <si>
    <t>Lewis and Clark</t>
  </si>
  <si>
    <t>Eldery</t>
  </si>
  <si>
    <t>1630 Division Road</t>
  </si>
  <si>
    <t>Gateway Vista</t>
  </si>
  <si>
    <t>Polson Landing</t>
  </si>
  <si>
    <t xml:space="preserve">General </t>
  </si>
  <si>
    <t>Wolf Point/Culbertson</t>
  </si>
  <si>
    <t>Polson</t>
  </si>
  <si>
    <t xml:space="preserve">Cascade </t>
  </si>
  <si>
    <t>TBD</t>
  </si>
  <si>
    <t>520 Pike St, Suite 1010</t>
  </si>
  <si>
    <t>Seattle WA 98110</t>
  </si>
  <si>
    <t>Blackfeet Housing Limited Partnership #6</t>
  </si>
  <si>
    <t>1200 SW Boundary, PO Box 449</t>
  </si>
  <si>
    <t>Browning MT 59417</t>
  </si>
  <si>
    <t>Polson Landing LLLP</t>
  </si>
  <si>
    <t>PO Box 2099</t>
  </si>
  <si>
    <t>Missoula MT 59806</t>
  </si>
  <si>
    <t>YWCA Billings</t>
  </si>
  <si>
    <t>909 Wyoming Ave</t>
  </si>
  <si>
    <t>Billings MT 59101</t>
  </si>
  <si>
    <t>Roosevelt Villas LLLP</t>
  </si>
  <si>
    <t>4799 Echo Dr</t>
  </si>
  <si>
    <t>Helena MT 59602</t>
  </si>
  <si>
    <t>Antelope Court LP</t>
  </si>
  <si>
    <t>4799 Echo Drive</t>
  </si>
  <si>
    <t>Cascade Ridge Phase II, LLC</t>
  </si>
  <si>
    <t>Peter gray</t>
  </si>
  <si>
    <t>2621 15th Ave S</t>
  </si>
  <si>
    <t>Great Falls MT 59405</t>
  </si>
  <si>
    <t>Gallatin Forks LP</t>
  </si>
  <si>
    <t>Taylor Hunt</t>
  </si>
  <si>
    <t xml:space="preserve">1277 Shoreline Lane </t>
  </si>
  <si>
    <t>Boise ID 83702</t>
  </si>
  <si>
    <t>Kirk Bruce</t>
  </si>
  <si>
    <t>PO Box 725378</t>
  </si>
  <si>
    <t>Berkley MI 48072</t>
  </si>
  <si>
    <t>Stoneride Apartments LP</t>
  </si>
  <si>
    <t xml:space="preserve">Rusty Snow </t>
  </si>
  <si>
    <t xml:space="preserve">283 W. Front St Suite 1 </t>
  </si>
  <si>
    <t>Missoula MT 59802</t>
  </si>
  <si>
    <t>Homeword, Inc</t>
  </si>
  <si>
    <t>Heather McMilin</t>
  </si>
  <si>
    <t>1535 Liberty Lane, Suite 116a</t>
  </si>
  <si>
    <t>Missoula MT 59808</t>
  </si>
  <si>
    <t>River Ridge Apartments LP</t>
  </si>
  <si>
    <t>Lori Davidson</t>
  </si>
  <si>
    <t>Missoula MT 59801</t>
  </si>
  <si>
    <t>West Jefferson partners LLLP</t>
  </si>
  <si>
    <t>Heather Grenier</t>
  </si>
  <si>
    <t>32 S Tracy St</t>
  </si>
  <si>
    <t>Cascade Ridge Phase II LLC</t>
  </si>
  <si>
    <t>Peter Gray</t>
  </si>
  <si>
    <t>Great Falls 59405</t>
  </si>
  <si>
    <t>Bozeman MT 59715</t>
  </si>
  <si>
    <t>Ft. harrison Veterans Residences LP</t>
  </si>
  <si>
    <t>Donald Paxton</t>
  </si>
  <si>
    <t>3550 S. Tamiami Trail Suite 300</t>
  </si>
  <si>
    <t>Sarasota FL 34239</t>
  </si>
  <si>
    <t>Gregory Dunfield</t>
  </si>
  <si>
    <t>520 Pike St Suite 1010</t>
  </si>
  <si>
    <t>Seattle WA 98101</t>
  </si>
  <si>
    <t>North Star Apartments LLLP</t>
  </si>
  <si>
    <t>Gene Leuwer</t>
  </si>
  <si>
    <t>Red Fox Apartments LLLP</t>
  </si>
  <si>
    <t>2415 First Ave N</t>
  </si>
  <si>
    <t>Echo Enterprises LLC</t>
  </si>
  <si>
    <t>Beki Glyde Brandborg</t>
  </si>
  <si>
    <t>4835 Echo Dr</t>
  </si>
  <si>
    <t>Merry Lee Olson</t>
  </si>
  <si>
    <t xml:space="preserve">Alex Burkhalter </t>
  </si>
  <si>
    <t xml:space="preserve">Chancy Kittson </t>
  </si>
  <si>
    <t xml:space="preserve">Steve Dymoke/Neil Fortier </t>
  </si>
  <si>
    <t>Valley Villas</t>
  </si>
  <si>
    <t>Courtyard Apartments</t>
  </si>
  <si>
    <t>Meadows Senior</t>
  </si>
  <si>
    <t>Livingston</t>
  </si>
  <si>
    <t>945 Wyoming Avenue</t>
  </si>
  <si>
    <t>1842 Airport Road</t>
  </si>
  <si>
    <t>603 Brassey Street</t>
  </si>
  <si>
    <t>Bluebunch Flats LLLP</t>
  </si>
  <si>
    <t>1535 Liberty Lane Ste 116A</t>
  </si>
  <si>
    <t>Copper Ridge 9% LLC</t>
  </si>
  <si>
    <t>Tom Mannschreck/Revonda Strodahl</t>
  </si>
  <si>
    <t xml:space="preserve">413 W Idaho ST Ste 200 </t>
  </si>
  <si>
    <t>Courtyard Associates MT LP</t>
  </si>
  <si>
    <t>PO Box 8300</t>
  </si>
  <si>
    <t>Kalispell MT 59904</t>
  </si>
  <si>
    <t>Heights Senior 9% LLLP</t>
  </si>
  <si>
    <t>520 Pike Street Ste 1010</t>
  </si>
  <si>
    <t>Marney McCleary</t>
  </si>
  <si>
    <t>Meadows LLC</t>
  </si>
  <si>
    <t>Ken Talle</t>
  </si>
  <si>
    <t>470 West 78th St Ste 260</t>
  </si>
  <si>
    <t>Chanhassen MN 55317</t>
  </si>
  <si>
    <t>Aspen Place-Msla</t>
  </si>
  <si>
    <t>Big Sky Manor**</t>
  </si>
  <si>
    <t>Credit Amount     (10 yr amt)</t>
  </si>
  <si>
    <t xml:space="preserve">Big Sky Villas       </t>
  </si>
  <si>
    <t>344 Sioux Lane</t>
  </si>
  <si>
    <t>402 Ridgewater Dr</t>
  </si>
  <si>
    <t>Active</t>
  </si>
  <si>
    <t>Exchange</t>
  </si>
  <si>
    <t>TCAP/Exchanage</t>
  </si>
  <si>
    <t>Exchange Partial</t>
  </si>
  <si>
    <t>60-90</t>
  </si>
  <si>
    <t xml:space="preserve">Sweetgrass Commons </t>
  </si>
  <si>
    <t>Noblehomestead</t>
  </si>
  <si>
    <t>Pablo</t>
  </si>
  <si>
    <t xml:space="preserve">Billings </t>
  </si>
  <si>
    <t xml:space="preserve">Rose Park </t>
  </si>
  <si>
    <t>Timber Meadows</t>
  </si>
  <si>
    <t>Stower Commons</t>
  </si>
  <si>
    <t>Miles City</t>
  </si>
  <si>
    <t xml:space="preserve">Polson Landing </t>
  </si>
  <si>
    <t>Nicole Court</t>
  </si>
  <si>
    <t>Stevensville</t>
  </si>
  <si>
    <t xml:space="preserve">Riverview Meadows </t>
  </si>
  <si>
    <t>Whitefish</t>
  </si>
  <si>
    <t>No Award</t>
  </si>
  <si>
    <t>Three Forks</t>
  </si>
  <si>
    <t>Big Sky</t>
  </si>
  <si>
    <t>Red Lodge</t>
  </si>
  <si>
    <t>Anaconda</t>
  </si>
  <si>
    <t>Lame Deer</t>
  </si>
  <si>
    <t>Ronan</t>
  </si>
  <si>
    <t>Laurel</t>
  </si>
  <si>
    <t>Dillon</t>
  </si>
  <si>
    <t>Boulder</t>
  </si>
  <si>
    <t>Plains</t>
  </si>
  <si>
    <t>Darby</t>
  </si>
  <si>
    <t>Glasgow</t>
  </si>
  <si>
    <t>Whitehall</t>
  </si>
  <si>
    <t>White Sulphur Springs</t>
  </si>
  <si>
    <t>Libby</t>
  </si>
  <si>
    <t>Harlem</t>
  </si>
  <si>
    <t>Tower Hill Apartments</t>
  </si>
  <si>
    <t xml:space="preserve">South Forty </t>
  </si>
  <si>
    <t>Burnt Fork Manor</t>
  </si>
  <si>
    <t xml:space="preserve">Warm Springs Apartments </t>
  </si>
  <si>
    <t>Sandhills Park Apartments</t>
  </si>
  <si>
    <t xml:space="preserve">Spring Meadow Apartments </t>
  </si>
  <si>
    <t>Lake Elmo Apartments</t>
  </si>
  <si>
    <t>Lodgebuilder Subdivision</t>
  </si>
  <si>
    <t xml:space="preserve">Headwater Apartmetns </t>
  </si>
  <si>
    <t>First Street Project</t>
  </si>
  <si>
    <t>Parkside Apartments</t>
  </si>
  <si>
    <t>Cornerstone Apartments</t>
  </si>
  <si>
    <t>Pine Ridge Apartments</t>
  </si>
  <si>
    <t>Wildflower Apartments</t>
  </si>
  <si>
    <t xml:space="preserve">Beartooth Apartments </t>
  </si>
  <si>
    <t xml:space="preserve">The College Homes </t>
  </si>
  <si>
    <t>Custer Villa Apartments</t>
  </si>
  <si>
    <t>Central Court Village</t>
  </si>
  <si>
    <t>Vista Terrace At Marketplace</t>
  </si>
  <si>
    <t>St Andrews Apartments</t>
  </si>
  <si>
    <t>Russell Square Apartments</t>
  </si>
  <si>
    <t>Cottonwood Apartments</t>
  </si>
  <si>
    <t>Mountain Apartments</t>
  </si>
  <si>
    <t xml:space="preserve">Pemberton Heights </t>
  </si>
  <si>
    <t>Acre Lawn Apartments</t>
  </si>
  <si>
    <t>Shoulder Blade Complex</t>
  </si>
  <si>
    <t xml:space="preserve">Mountain Apartmetns </t>
  </si>
  <si>
    <t>Vista Terrace</t>
  </si>
  <si>
    <t>Meadowood Apartments</t>
  </si>
  <si>
    <t>Antelope Terrace</t>
  </si>
  <si>
    <t xml:space="preserve">Boundary Street Acq/Rehabiliataion Project </t>
  </si>
  <si>
    <t xml:space="preserve">Snowcrest Apartments </t>
  </si>
  <si>
    <t>Georgetown Commons Project</t>
  </si>
  <si>
    <t xml:space="preserve">Big Boulder </t>
  </si>
  <si>
    <t>Providence Square Project</t>
  </si>
  <si>
    <t>Snowcrest Apartments</t>
  </si>
  <si>
    <t>Hathaway Court Apartments</t>
  </si>
  <si>
    <t>Wilder Avenue</t>
  </si>
  <si>
    <t>Snowcrest Ii Apartments</t>
  </si>
  <si>
    <t xml:space="preserve">The Taylor Meade Apartments </t>
  </si>
  <si>
    <t xml:space="preserve">Mountain View Ii Apartments </t>
  </si>
  <si>
    <t>Pemberton Park</t>
  </si>
  <si>
    <t>Mission Mountain Manor</t>
  </si>
  <si>
    <t>Taylor Meade Apartments</t>
  </si>
  <si>
    <t>Legacy Square Project</t>
  </si>
  <si>
    <t>Ronan Senior Living Project</t>
  </si>
  <si>
    <t>Sage Tower Apartments</t>
  </si>
  <si>
    <t>Coachman Apartments</t>
  </si>
  <si>
    <t xml:space="preserve">Spring Manor </t>
  </si>
  <si>
    <t xml:space="preserve">Plum Tree Apartments </t>
  </si>
  <si>
    <t>Garden District</t>
  </si>
  <si>
    <t>Chippewa Cree</t>
  </si>
  <si>
    <t>Lincoln Springs</t>
  </si>
  <si>
    <t>Montrose Apartments</t>
  </si>
  <si>
    <t>Treasure Manor</t>
  </si>
  <si>
    <t>Fort Belknap Project - Harlem</t>
  </si>
  <si>
    <t>Fort Peck Project</t>
  </si>
  <si>
    <t>Pointe At Somers</t>
  </si>
  <si>
    <t>Mid Town Residence</t>
  </si>
  <si>
    <t>Palace Apartments</t>
  </si>
  <si>
    <t>Aspen Place</t>
  </si>
  <si>
    <t>Hyalite Apartments</t>
  </si>
  <si>
    <t>Eagles Manor Apartments</t>
  </si>
  <si>
    <t>Element 54 - Withdrawn</t>
  </si>
  <si>
    <t>North Stone Residence</t>
  </si>
  <si>
    <t>The Haven Homes</t>
  </si>
  <si>
    <t xml:space="preserve">Stoneridge Apartments </t>
  </si>
  <si>
    <t>Deer Park Apartments</t>
  </si>
  <si>
    <t>Red Fox Apartments</t>
  </si>
  <si>
    <t>Courtyards Apartments</t>
  </si>
  <si>
    <t>North Evergreen Village</t>
  </si>
  <si>
    <t>Clark Fork Apartments</t>
  </si>
  <si>
    <t>North Shore Residences</t>
  </si>
  <si>
    <t>Pearson Place</t>
  </si>
  <si>
    <t>River Ridge Apartments</t>
  </si>
  <si>
    <t>Sunset Village Apartments</t>
  </si>
  <si>
    <t>6000 John Rd</t>
  </si>
  <si>
    <t>River Rock Residences</t>
  </si>
  <si>
    <t>810 Flat Rock Loop</t>
  </si>
  <si>
    <t>Housing Credit Equity</t>
  </si>
  <si>
    <t>2716 Turbulance Ln</t>
  </si>
  <si>
    <t>1137 Montana St</t>
  </si>
  <si>
    <t>Rate</t>
  </si>
  <si>
    <t>Term</t>
  </si>
  <si>
    <t>Ft Harrison (Helena)</t>
  </si>
  <si>
    <t>Freedoms Path (returned see 2018 refreshed credits)</t>
  </si>
  <si>
    <t>North Star (see orig credits 2016)</t>
  </si>
  <si>
    <t>x</t>
  </si>
  <si>
    <t>N Evergreen Village</t>
  </si>
  <si>
    <t>Big Sky Villas</t>
  </si>
  <si>
    <t>Homestead Lodge</t>
  </si>
  <si>
    <t>Absarokee</t>
  </si>
  <si>
    <t>Immanuel Lutheran Aff Living</t>
  </si>
  <si>
    <t>Polson Senior</t>
  </si>
  <si>
    <t>Southern Lights</t>
  </si>
  <si>
    <t>Story Mill</t>
  </si>
  <si>
    <t>Trapper Peak</t>
  </si>
  <si>
    <t>Glasgow Apts</t>
  </si>
  <si>
    <t>Courtyard</t>
  </si>
  <si>
    <t>Missoula Senior</t>
  </si>
  <si>
    <t>Meadows Senior Apartments</t>
  </si>
  <si>
    <t>Lewiston</t>
  </si>
  <si>
    <t xml:space="preserve">Fergus </t>
  </si>
  <si>
    <t>Senior</t>
  </si>
  <si>
    <t>Cut Bank Villas</t>
  </si>
  <si>
    <t>For-Profit</t>
  </si>
  <si>
    <t>Nicole Court Senior</t>
  </si>
  <si>
    <t>American Square</t>
  </si>
  <si>
    <t>North Stone Residences</t>
  </si>
  <si>
    <t>Gallatin Forks Senior Living</t>
  </si>
  <si>
    <t>Old Joe</t>
  </si>
  <si>
    <t>Missoula 4%/9%</t>
  </si>
  <si>
    <t>Evergreen Commons</t>
  </si>
  <si>
    <t>Evergreen</t>
  </si>
  <si>
    <t>Alpine View Apartments</t>
  </si>
  <si>
    <t>Columbia Falls</t>
  </si>
  <si>
    <t>Roosevelt Villas (see orig credits 2017)</t>
  </si>
  <si>
    <t>63 Heart Butte Rd</t>
  </si>
  <si>
    <t>Fort Peck 4</t>
  </si>
  <si>
    <t>Poplar/Wolf Point</t>
  </si>
  <si>
    <t>New Const</t>
  </si>
  <si>
    <t>Ft. Peck Hsg Auth</t>
  </si>
  <si>
    <t>Creekside Commons</t>
  </si>
  <si>
    <t>Housing Solutions</t>
  </si>
  <si>
    <t>Echo Enterprises</t>
  </si>
  <si>
    <t>HRC Cottages, Inc</t>
  </si>
  <si>
    <t>Timber Ridge Apts</t>
  </si>
  <si>
    <t>Summit Housing</t>
  </si>
  <si>
    <t>Syringa Housing</t>
  </si>
  <si>
    <t>Nemont Manor</t>
  </si>
  <si>
    <t>Affiliated Developers</t>
  </si>
  <si>
    <t>Alpine View</t>
  </si>
  <si>
    <t>Housing Solutions,</t>
  </si>
  <si>
    <t>Whitefish Family Apts</t>
  </si>
  <si>
    <t>Commonwealth Dev</t>
  </si>
  <si>
    <t>RMDC and CR Bldrs</t>
  </si>
  <si>
    <t>Crow Creek Apartments</t>
  </si>
  <si>
    <t>Townsend</t>
  </si>
  <si>
    <t>Broadwater</t>
  </si>
  <si>
    <t>4500 Continental Drive</t>
  </si>
  <si>
    <t>230 Starner Ln</t>
  </si>
  <si>
    <t>Starner Gardens 9%</t>
  </si>
  <si>
    <t>Starner Gardens 4%</t>
  </si>
  <si>
    <t>787 Buckskin Dr</t>
  </si>
  <si>
    <t xml:space="preserve">Oakwood Village </t>
  </si>
  <si>
    <t>Berkley</t>
  </si>
  <si>
    <t>kirk@a-developers.com</t>
  </si>
  <si>
    <t>Meadowlark Vista</t>
  </si>
  <si>
    <t>Jodie Paxton</t>
  </si>
  <si>
    <t>PO Box 146</t>
  </si>
  <si>
    <t>Housing@ronan.net</t>
  </si>
  <si>
    <t xml:space="preserve">St John's Luth / CR Bldrs </t>
  </si>
  <si>
    <t>Chapel Court</t>
  </si>
  <si>
    <t>David Trost</t>
  </si>
  <si>
    <t>2429 Mission Way</t>
  </si>
  <si>
    <t>dtrost@sjlm.org</t>
  </si>
  <si>
    <t>RMDC &amp; GLD</t>
  </si>
  <si>
    <t>Liz Mogstad</t>
  </si>
  <si>
    <t>lmogstad@rmdc.net</t>
  </si>
  <si>
    <t>Homeword, Inc.</t>
  </si>
  <si>
    <t>1535 Liberty Ln</t>
  </si>
  <si>
    <t>heather@homeword.org</t>
  </si>
  <si>
    <t>Housing Solutions / CR Bldrs</t>
  </si>
  <si>
    <t>Skyview 9</t>
  </si>
  <si>
    <t>alex@housing-solutions.org</t>
  </si>
  <si>
    <t xml:space="preserve">Syringa Housing </t>
  </si>
  <si>
    <t>1277 Shoreline Lane</t>
  </si>
  <si>
    <t>taylorh@syringaproperties.com</t>
  </si>
  <si>
    <t>PO Box 449</t>
  </si>
  <si>
    <t>chancy@blackfeethousing.org</t>
  </si>
  <si>
    <t xml:space="preserve">Cut Bank </t>
  </si>
  <si>
    <t>Beki Brandborg</t>
  </si>
  <si>
    <t>4835 Echo Drive</t>
  </si>
  <si>
    <t>beki@montana.com</t>
  </si>
  <si>
    <t>Affiliated Developers,</t>
  </si>
  <si>
    <t>Eagles Manor</t>
  </si>
  <si>
    <t>HRC Development</t>
  </si>
  <si>
    <t>1801 South Higgins Ave</t>
  </si>
  <si>
    <t>jpm@hrcxi.org</t>
  </si>
  <si>
    <t>MHA &amp; Bouchee Dev</t>
  </si>
  <si>
    <t>Heron Flats</t>
  </si>
  <si>
    <t>Mike Bouchee</t>
  </si>
  <si>
    <t>131 S Higgins</t>
  </si>
  <si>
    <t>mike@boucheedevelopment.com</t>
  </si>
  <si>
    <t>NWGF Development</t>
  </si>
  <si>
    <t>Third St Commons</t>
  </si>
  <si>
    <t>Neil Fortier</t>
  </si>
  <si>
    <t>509 1st Ave S</t>
  </si>
  <si>
    <t>nfortier@nwgf.org</t>
  </si>
  <si>
    <t xml:space="preserve">Summit Housing </t>
  </si>
  <si>
    <t>Timber Ridge</t>
  </si>
  <si>
    <t>Rusty Snow</t>
  </si>
  <si>
    <t>283 W Front St</t>
  </si>
  <si>
    <t>Rusty@SummitHousingGroup.com</t>
  </si>
  <si>
    <t>The Housing Co</t>
  </si>
  <si>
    <t>Pioneer Meadows</t>
  </si>
  <si>
    <t>Blake Jumper</t>
  </si>
  <si>
    <t>565 W Myrtle St Ste 250</t>
  </si>
  <si>
    <t>blake@ihfa.org</t>
  </si>
  <si>
    <t>3940 Rimrock Rd</t>
  </si>
  <si>
    <t>2200 Henderson</t>
  </si>
  <si>
    <t>524 Edgewood Pl</t>
  </si>
  <si>
    <t>City</t>
  </si>
  <si>
    <t xml:space="preserve">Jobs per $1 million </t>
  </si>
  <si>
    <t>Oakwood Village</t>
  </si>
  <si>
    <t>Skyview</t>
  </si>
  <si>
    <t>New/Acq/Rehab</t>
  </si>
  <si>
    <t>Wages Pd per $1 million</t>
  </si>
  <si>
    <t>Fort Benton</t>
  </si>
  <si>
    <t>Scoby</t>
  </si>
  <si>
    <t>Cutbank</t>
  </si>
  <si>
    <t>Winnett</t>
  </si>
  <si>
    <t>Medicine Lake</t>
  </si>
  <si>
    <t>Hardin</t>
  </si>
  <si>
    <t>Joliet</t>
  </si>
  <si>
    <t>Bigfork</t>
  </si>
  <si>
    <t>Forsyth</t>
  </si>
  <si>
    <t>Hysham</t>
  </si>
  <si>
    <t>Big Timber</t>
  </si>
  <si>
    <t>Belgrade.</t>
  </si>
  <si>
    <t>West Yellowstone</t>
  </si>
  <si>
    <t>Chinook</t>
  </si>
  <si>
    <t>Chester</t>
  </si>
  <si>
    <t>St Ignatius</t>
  </si>
  <si>
    <t>Elmo</t>
  </si>
  <si>
    <t>Fort Belknap</t>
  </si>
  <si>
    <t>Hays</t>
  </si>
  <si>
    <t>Livington</t>
  </si>
  <si>
    <t>Corvallis</t>
  </si>
  <si>
    <t>Browning &amp; Heart Butte</t>
  </si>
  <si>
    <t>St Regis</t>
  </si>
  <si>
    <t>508,508 1/2 4Th Ave</t>
  </si>
  <si>
    <t>220, 222 11Th Street</t>
  </si>
  <si>
    <t>1427 1/2 4Th Street</t>
  </si>
  <si>
    <t>620,622 First Avenue</t>
  </si>
  <si>
    <t>520-526 Central Avenue</t>
  </si>
  <si>
    <t>1423 7Th Avenue</t>
  </si>
  <si>
    <t>17 W Lamme</t>
  </si>
  <si>
    <t>100-1000 Cherry Hill Court</t>
  </si>
  <si>
    <t>2201,2213 Choteau Street</t>
  </si>
  <si>
    <t>411 Central Avenue Units 1-9</t>
  </si>
  <si>
    <t>813 Second Avenue Sw</t>
  </si>
  <si>
    <t>201 Main</t>
  </si>
  <si>
    <t>421 Yellowstone Avenue</t>
  </si>
  <si>
    <t>112,114,116 5Th Street 509,511 First Avenue</t>
  </si>
  <si>
    <t>1123,1125 Central Avenue</t>
  </si>
  <si>
    <t>315 Pattee Street</t>
  </si>
  <si>
    <t>208 North 23Rd Street</t>
  </si>
  <si>
    <t>2340 Fairview</t>
  </si>
  <si>
    <t>320 Two Mile Drive</t>
  </si>
  <si>
    <t>810 5Th Street W.</t>
  </si>
  <si>
    <t>1512 Lake Elmo</t>
  </si>
  <si>
    <t>309,313 11Th Street</t>
  </si>
  <si>
    <t>1100-1500 Cherry Hill Court</t>
  </si>
  <si>
    <t>1526 Lake Elmo Road</t>
  </si>
  <si>
    <t>33 First Avenue Se</t>
  </si>
  <si>
    <t>819,851,865,885,877,843,835 Ashtar</t>
  </si>
  <si>
    <t>Ne Corner Of Main Street &amp; Leeper</t>
  </si>
  <si>
    <t>116 Main Street</t>
  </si>
  <si>
    <t>1250 34Th Street</t>
  </si>
  <si>
    <t>740 Olympic Blvd</t>
  </si>
  <si>
    <t>700 Montana</t>
  </si>
  <si>
    <t>1055 N Meridian</t>
  </si>
  <si>
    <t>720 &amp; 724 Fifth Street</t>
  </si>
  <si>
    <t>703 3Rd Avenue South</t>
  </si>
  <si>
    <t>1203 Lake Elmo Road</t>
  </si>
  <si>
    <t>1055 North Meridian</t>
  </si>
  <si>
    <t>101 Pullman Court</t>
  </si>
  <si>
    <t>406 South First Street</t>
  </si>
  <si>
    <t xml:space="preserve">1325 Jefferson </t>
  </si>
  <si>
    <t>1914 Scott Street</t>
  </si>
  <si>
    <t>5Th Street &amp; Westwood</t>
  </si>
  <si>
    <t>2525 Ferndale Lane</t>
  </si>
  <si>
    <t>486 Two Mile Drive</t>
  </si>
  <si>
    <t>1150-1156 Grand Avenue</t>
  </si>
  <si>
    <t>811 - 827 N 17Th Street</t>
  </si>
  <si>
    <t>20 4Th Avenue East</t>
  </si>
  <si>
    <t>123 W Broadway</t>
  </si>
  <si>
    <t>1855 East Main</t>
  </si>
  <si>
    <t>2315 East Front</t>
  </si>
  <si>
    <t>117 Division St</t>
  </si>
  <si>
    <t>8Th &amp; Hart</t>
  </si>
  <si>
    <t>602 Robin Lane</t>
  </si>
  <si>
    <t>708 River St</t>
  </si>
  <si>
    <t>514 River St</t>
  </si>
  <si>
    <t>1250 1Th St</t>
  </si>
  <si>
    <t>Nwc Jackrabbit Rd @ Hwy 10</t>
  </si>
  <si>
    <t xml:space="preserve">777 Haggerty Lane </t>
  </si>
  <si>
    <t>1805 Phillips</t>
  </si>
  <si>
    <t>610/616-9Th,820 7Th,410/416-8Th Avenue South</t>
  </si>
  <si>
    <t>2300 16Th Avenue South</t>
  </si>
  <si>
    <t>2615 Broadway</t>
  </si>
  <si>
    <t>Rangeview Drive</t>
  </si>
  <si>
    <t>2420 Burlington Suare</t>
  </si>
  <si>
    <t>101 Jackrabbit Rd</t>
  </si>
  <si>
    <t>Lake Elmo Rd</t>
  </si>
  <si>
    <t>Tract 4-A Madison Add</t>
  </si>
  <si>
    <t>126 Ohio</t>
  </si>
  <si>
    <t>Harrison Avenue</t>
  </si>
  <si>
    <t xml:space="preserve">2840 Sante Fe Court </t>
  </si>
  <si>
    <t>Po Box 3381</t>
  </si>
  <si>
    <t>Nhn Old Hiway 93</t>
  </si>
  <si>
    <t>Weast Ave &amp; School St</t>
  </si>
  <si>
    <t>814 River St</t>
  </si>
  <si>
    <t>290 Skeels Avenue</t>
  </si>
  <si>
    <t>11 Moose Ridge Rd</t>
  </si>
  <si>
    <t>1437&amp;1444 S First St West</t>
  </si>
  <si>
    <t>1006 Cardinal Drive #205</t>
  </si>
  <si>
    <t>4101 Central Avenue</t>
  </si>
  <si>
    <t>1062 Oak Street</t>
  </si>
  <si>
    <t>1454-1456 Westchester Sq W</t>
  </si>
  <si>
    <t>1201 N 25Th St</t>
  </si>
  <si>
    <t>777 Haggerty Lane</t>
  </si>
  <si>
    <t>121 State St</t>
  </si>
  <si>
    <t>1071 &amp; 1075 Roadrunner Dr</t>
  </si>
  <si>
    <t>W Liberty (Lot 6 Liberty Vlg)</t>
  </si>
  <si>
    <t>522 N Airport Rd</t>
  </si>
  <si>
    <t>78 27Th St West</t>
  </si>
  <si>
    <t>Montana St &amp; North  N St</t>
  </si>
  <si>
    <t>Po Box 38</t>
  </si>
  <si>
    <t>Corporate Drive</t>
  </si>
  <si>
    <t>228 North Main</t>
  </si>
  <si>
    <t>13Th Ave &amp; 12Th St</t>
  </si>
  <si>
    <t>300-306 W Broadway</t>
  </si>
  <si>
    <t>27Th &amp; St Johns</t>
  </si>
  <si>
    <t>110 Second Avenue West</t>
  </si>
  <si>
    <t>403 Idaho St</t>
  </si>
  <si>
    <t>210 Arrowhead Lane</t>
  </si>
  <si>
    <t>700 7Th St West</t>
  </si>
  <si>
    <t>606 North Fifth</t>
  </si>
  <si>
    <t>34Th At Russell</t>
  </si>
  <si>
    <t>3602 Stephens</t>
  </si>
  <si>
    <t>400 Liberty St</t>
  </si>
  <si>
    <t>Cemetery Rd</t>
  </si>
  <si>
    <t>403 Idaho Ave</t>
  </si>
  <si>
    <t>1113-1123 Agency Way</t>
  </si>
  <si>
    <t>Lots 13-17 &amp; Lots 7-12</t>
  </si>
  <si>
    <t>34Th &amp; Russell</t>
  </si>
  <si>
    <t>South 34Th, 30Th ,31St St</t>
  </si>
  <si>
    <t>3400 Ptarmigan Lane</t>
  </si>
  <si>
    <t>407 Main St Sw</t>
  </si>
  <si>
    <t>11Th Ave Nw</t>
  </si>
  <si>
    <t>Colorado Avenue</t>
  </si>
  <si>
    <t>North Browning/ South Flat Iron</t>
  </si>
  <si>
    <t>105-123 South 2Nd</t>
  </si>
  <si>
    <t>Market St</t>
  </si>
  <si>
    <t>430 Colorado</t>
  </si>
  <si>
    <t>330 North 1St St West</t>
  </si>
  <si>
    <t>Sparrow Lane</t>
  </si>
  <si>
    <t>Market Street</t>
  </si>
  <si>
    <t>820 11Th Street East</t>
  </si>
  <si>
    <t>601 &amp; 603 Welcome Way</t>
  </si>
  <si>
    <t>Blacktail &amp; Whitetail Lanes</t>
  </si>
  <si>
    <t>2517 W College Ave</t>
  </si>
  <si>
    <t>Sparrow Lane East Of Hwy 93</t>
  </si>
  <si>
    <t>Lot B-2-A On Providence</t>
  </si>
  <si>
    <t>River Ranch Drive</t>
  </si>
  <si>
    <t>315 E Maryland Lane</t>
  </si>
  <si>
    <t>Ptarmigan Lane</t>
  </si>
  <si>
    <t>3602 Winter Lane</t>
  </si>
  <si>
    <t>12Th Ave W At 12Th St W</t>
  </si>
  <si>
    <t>109 N Broadway</t>
  </si>
  <si>
    <t>715 N. Fee Street</t>
  </si>
  <si>
    <t>Scattered</t>
  </si>
  <si>
    <t>124 Skihi Street</t>
  </si>
  <si>
    <t>Gov Lot1 , Parcel B, Cos 466881-Tfr</t>
  </si>
  <si>
    <t>Oak St &amp; Future 15Th</t>
  </si>
  <si>
    <t>2500 Great Northern Avenue</t>
  </si>
  <si>
    <t>Scattered, Harlem 59526</t>
  </si>
  <si>
    <t>715 South 28Th Street</t>
  </si>
  <si>
    <t>801 South 28Th Street</t>
  </si>
  <si>
    <t>Scattered Harlem 59526</t>
  </si>
  <si>
    <t>Scattered Site, Browning</t>
  </si>
  <si>
    <t>115 North 24Th Street</t>
  </si>
  <si>
    <t>Tba Fountain Terrace Subdivision</t>
  </si>
  <si>
    <t>601 N Russell</t>
  </si>
  <si>
    <t>Poplar, Brocton, Wolfpoint</t>
  </si>
  <si>
    <t>4Th Ave South</t>
  </si>
  <si>
    <t>St Rte 39 N. Of Lame Deer</t>
  </si>
  <si>
    <t>506 1St Ave W</t>
  </si>
  <si>
    <t>820 First Avenue Sw</t>
  </si>
  <si>
    <t>501 E 4Th Avenue</t>
  </si>
  <si>
    <t>2231 5Th Ave</t>
  </si>
  <si>
    <t>1111 Mcdonald Ave</t>
  </si>
  <si>
    <t>149 W. Broadway</t>
  </si>
  <si>
    <t>3001 15Th Ave S</t>
  </si>
  <si>
    <t>343 Mt Hwy 135</t>
  </si>
  <si>
    <t>626 13Th Ave</t>
  </si>
  <si>
    <t>221 5Th Street</t>
  </si>
  <si>
    <t>1280 10Th Street West</t>
  </si>
  <si>
    <t>1005 Park Ave (Near Here Scattered Site)</t>
  </si>
  <si>
    <t>Tbd Btwn 3Rd &amp; 5Th Streets</t>
  </si>
  <si>
    <t>2400 13Th Ave. South</t>
  </si>
  <si>
    <t>2465 5Th Ave</t>
  </si>
  <si>
    <t>1225 4Th Ave North</t>
  </si>
  <si>
    <t>404, 410, 414 N 10Th Street</t>
  </si>
  <si>
    <t>3416/3200 11Th Ave S; 429 56Th St S; 701 3Rd Ave Nw</t>
  </si>
  <si>
    <t>123 &amp; 127 Edgar St Wp/22 &amp; 24 W 2Nd St Culbertson</t>
  </si>
  <si>
    <t>2108 23Rd St S (23 Rd St S &amp; 24Th Ave S)</t>
  </si>
  <si>
    <t>110 2Nd Ave</t>
  </si>
  <si>
    <t>504 S 13Th Street</t>
  </si>
  <si>
    <t>1915 1St St Ne</t>
  </si>
  <si>
    <t>311 11Th Ave Nw</t>
  </si>
  <si>
    <t>Comp Fulfilled</t>
  </si>
  <si>
    <t>Franklin School</t>
  </si>
  <si>
    <t>Kalispell Senior Apartments</t>
  </si>
  <si>
    <t>Columbia Arms</t>
  </si>
  <si>
    <t>Heights Centennial Apartments I</t>
  </si>
  <si>
    <t>Cherry Hill Village North</t>
  </si>
  <si>
    <t>Stone Creek Apartments</t>
  </si>
  <si>
    <t>Shiloh Glen Apartments</t>
  </si>
  <si>
    <t>Deer Lodge Apartments</t>
  </si>
  <si>
    <t>Fifth Street Apartments</t>
  </si>
  <si>
    <t>Clyatt Rentals</t>
  </si>
  <si>
    <t>Butorac Rentals</t>
  </si>
  <si>
    <t>Westwood Apartments</t>
  </si>
  <si>
    <t>Shadow Mountain Apartments</t>
  </si>
  <si>
    <t>Westwind Village</t>
  </si>
  <si>
    <t>8Th Avenue Apartments</t>
  </si>
  <si>
    <t>Fernwell Apartments</t>
  </si>
  <si>
    <t>Forsyth Village I</t>
  </si>
  <si>
    <t>Hysham Village</t>
  </si>
  <si>
    <t>Big Timber Village</t>
  </si>
  <si>
    <t>Livingston Village</t>
  </si>
  <si>
    <t>Coad I</t>
  </si>
  <si>
    <t>Comstock Apartments</t>
  </si>
  <si>
    <t>Phillips Apartments</t>
  </si>
  <si>
    <t>Mountain View Gf /Sandstone Village</t>
  </si>
  <si>
    <t>East Park Villas</t>
  </si>
  <si>
    <t>Rangeview Apartments</t>
  </si>
  <si>
    <t>Burlington Square</t>
  </si>
  <si>
    <t>Hillcrest Apartments</t>
  </si>
  <si>
    <t>Agape Housing</t>
  </si>
  <si>
    <t>Creekside Apartments**</t>
  </si>
  <si>
    <t>Willow Court Apartments</t>
  </si>
  <si>
    <t>Fireweed Court</t>
  </si>
  <si>
    <t>Timberline Apartments</t>
  </si>
  <si>
    <t>Autumn Run Apartments**</t>
  </si>
  <si>
    <t>Westchester Square Duplex</t>
  </si>
  <si>
    <t>Parkside Apts- Hamilton</t>
  </si>
  <si>
    <t>Roadrunner Residence</t>
  </si>
  <si>
    <t>Cherry Orchard (20% Files And Phs)</t>
  </si>
  <si>
    <t>Mountain View Apartments</t>
  </si>
  <si>
    <t>Timberline Apts</t>
  </si>
  <si>
    <t>Arlee Elder Homes</t>
  </si>
  <si>
    <t>Westgate Senior Apts</t>
  </si>
  <si>
    <t>Ronan-Maxwell Senior Apts</t>
  </si>
  <si>
    <t>St Ignatius-Maxwell Senior Apts</t>
  </si>
  <si>
    <t>Lenox Flats</t>
  </si>
  <si>
    <t>Columbia Villa Apts**</t>
  </si>
  <si>
    <t>Elmo Elder Homes</t>
  </si>
  <si>
    <t>Fort Belknap Southern #1</t>
  </si>
  <si>
    <t>Russell Square Apts</t>
  </si>
  <si>
    <t>Isaiah Housing - Koinonia</t>
  </si>
  <si>
    <t>Ptarmigan Residences</t>
  </si>
  <si>
    <t>South Flat Iron</t>
  </si>
  <si>
    <t>Centre Court (Second Ave)</t>
  </si>
  <si>
    <t>Gold Dust</t>
  </si>
  <si>
    <t>Sparrow Lane Phase I</t>
  </si>
  <si>
    <t>Sunny Slope Vista Apartments</t>
  </si>
  <si>
    <t>Turtle Lake Project</t>
  </si>
  <si>
    <t xml:space="preserve">Bridger Apts </t>
  </si>
  <si>
    <t>Mountain Senior Apartments</t>
  </si>
  <si>
    <t>Pheasant Glen</t>
  </si>
  <si>
    <t>Hailey Apartments</t>
  </si>
  <si>
    <t>Country Estates</t>
  </si>
  <si>
    <t>Georgetown Commons</t>
  </si>
  <si>
    <t>Orchard Garden</t>
  </si>
  <si>
    <t>Felsman North &amp; East</t>
  </si>
  <si>
    <t>Maclay Commons</t>
  </si>
  <si>
    <t>Union Place</t>
  </si>
  <si>
    <t>Wilder Apartments</t>
  </si>
  <si>
    <t>North Country Estates</t>
  </si>
  <si>
    <t>Baxter Apartments</t>
  </si>
  <si>
    <t>Irvin Tract Rehab Project</t>
  </si>
  <si>
    <t>Union Place Ii</t>
  </si>
  <si>
    <t>Equinox</t>
  </si>
  <si>
    <t>Shoulderblade Complex</t>
  </si>
  <si>
    <t>Spring Creek Apartments</t>
  </si>
  <si>
    <t>Superior Commons</t>
  </si>
  <si>
    <t>Spring Creek Apartments 2</t>
  </si>
  <si>
    <t>Whitetail Run Apartments</t>
  </si>
  <si>
    <t>Mountain View Apartments - Butte</t>
  </si>
  <si>
    <t>Ouellette Place</t>
  </si>
  <si>
    <t>Big Boulder</t>
  </si>
  <si>
    <t>The Palace Apartments</t>
  </si>
  <si>
    <t>Cascade Ridge Senior Living</t>
  </si>
  <si>
    <t>Two Rivers Place</t>
  </si>
  <si>
    <t>Cascade Ridge Ii (See Add'L Credits In 2016)</t>
  </si>
  <si>
    <t>Blackfeet Vi</t>
  </si>
  <si>
    <t>8Th Street West Apartments</t>
  </si>
  <si>
    <t>Coad 1</t>
  </si>
  <si>
    <t>Coad 2</t>
  </si>
  <si>
    <t>Coad 3</t>
  </si>
  <si>
    <t>Nhs Apartments</t>
  </si>
  <si>
    <t>Cheyenne Homes Phase Ii</t>
  </si>
  <si>
    <t>College Apartments Pase Iii</t>
  </si>
  <si>
    <t>Atherton Phase Ii</t>
  </si>
  <si>
    <t>Cottonwoods Apartments Phase Ii</t>
  </si>
  <si>
    <t>Bitterroot Commons Iii</t>
  </si>
  <si>
    <t>Nicole Court Phase Ii</t>
  </si>
  <si>
    <t>Cascade Ridge Ii</t>
  </si>
  <si>
    <t>Voyager Ii</t>
  </si>
  <si>
    <t>Aspen Iii</t>
  </si>
  <si>
    <t>Livingston Memorial Hospital- Tbd</t>
  </si>
  <si>
    <t>Aspen Place Iii</t>
  </si>
  <si>
    <t>Blackfeet Homes Vii (Withdrawn)</t>
  </si>
  <si>
    <t>South Forty compliance fulfilled</t>
  </si>
  <si>
    <t>Morelli Rentals compliance fulfilled</t>
  </si>
  <si>
    <t>Worstell Apts compliance fulfilled</t>
  </si>
  <si>
    <t>Worstell Rentals compliance fulfilled</t>
  </si>
  <si>
    <t>Worstell Apartments compliance fulfilled</t>
  </si>
  <si>
    <t>Elmore  Roberts Hotel compliance fulfilled</t>
  </si>
  <si>
    <t>Heritage Apartments compliance fulfilled</t>
  </si>
  <si>
    <t>Cherry Hill Village compliance fulfilled</t>
  </si>
  <si>
    <t>Canyon Villas compliance fulfilled</t>
  </si>
  <si>
    <t>Hillside Apartments compliance fulfilled</t>
  </si>
  <si>
    <t>Franklin School compliance fulfilled</t>
  </si>
  <si>
    <t>Pioneer Apartments  compliance fulfilled</t>
  </si>
  <si>
    <t>Laurel Apartments compliance fulfilled</t>
  </si>
  <si>
    <t>Kennedy Rentals compliance fulfilled</t>
  </si>
  <si>
    <t>Pattee Street Apartments  compliance fulfilled</t>
  </si>
  <si>
    <t>Centennial Apartments  compliance fulfilled</t>
  </si>
  <si>
    <t>Mcdonald Rental  compliance fulfilled</t>
  </si>
  <si>
    <t>Milk River Group Home compliance fulfilled</t>
  </si>
  <si>
    <t>Little Jon Apartments (resyndicated)</t>
  </si>
  <si>
    <t>The Palace Hotel (resyndicated)</t>
  </si>
  <si>
    <t>Resyndicated</t>
  </si>
  <si>
    <t>Felsman Addition (eventual homeownership)</t>
  </si>
  <si>
    <t>Terminated</t>
  </si>
  <si>
    <t>Meadowlark Townhomes (out of program</t>
  </si>
  <si>
    <t>Madison Apartments (out of program)</t>
  </si>
  <si>
    <t>River Ridge (resyndicated 2015)</t>
  </si>
  <si>
    <t>Nicole Court - retuned credits</t>
  </si>
  <si>
    <t>Returned</t>
  </si>
  <si>
    <t>Pattee Street - returned credits</t>
  </si>
  <si>
    <t>Bridger Court Apts - returned credits</t>
  </si>
  <si>
    <t>Old Holy Rosary Hospital Apartments - returned credits</t>
  </si>
  <si>
    <t>Lincoln Springs - returned credits</t>
  </si>
  <si>
    <t>Makoshika Estates (see add'l credits 2008) (out of program)</t>
  </si>
  <si>
    <t>Oullette Place returned credits</t>
  </si>
  <si>
    <t>J &amp; L Rental compliance fulfillled</t>
  </si>
  <si>
    <t>Ouellette Place returned credits</t>
  </si>
  <si>
    <t>Polson Meadows returned credits</t>
  </si>
  <si>
    <t>Aspen Place-return credits</t>
  </si>
  <si>
    <t>Wolf Point Village  returned credits</t>
  </si>
  <si>
    <t>Makoshika Estates (see orig credits 2007) (out of program)</t>
  </si>
  <si>
    <t>Refreshed</t>
  </si>
  <si>
    <t>North Star (see add'L credits 2018)</t>
  </si>
  <si>
    <t>Roosevelt Villas (see add'L credits 2018)</t>
  </si>
  <si>
    <t>Freedoms Path (refreshed credits fr 2016)</t>
  </si>
  <si>
    <t>Copper Ridge 9% (includes orig + add'L credit)</t>
  </si>
  <si>
    <t>21 Bunty Blvd (Agency &amp; Box Elder Scattered Site)</t>
  </si>
  <si>
    <t>Tax Exempt Bonds Issued</t>
  </si>
  <si>
    <t>Tax Exempt Perm Loan Amount</t>
  </si>
  <si>
    <t>201 2nd Street NE</t>
  </si>
  <si>
    <t>543 S 3rd Ave W</t>
  </si>
  <si>
    <t>1019 6th Street SW</t>
  </si>
  <si>
    <t>2840 Santa Fe Court</t>
  </si>
  <si>
    <t>1241 North 12th Ave</t>
  </si>
  <si>
    <t>3001 15th Ave S</t>
  </si>
  <si>
    <t>Cottonwood Creek (see orig credits 2018)</t>
  </si>
  <si>
    <t>Cottonwood Creek (see add'l credits 2019)</t>
  </si>
  <si>
    <t>see orig credits below</t>
  </si>
  <si>
    <t>Hardin Senior Hsing</t>
  </si>
  <si>
    <t>Ouellette Place II</t>
  </si>
  <si>
    <t>Boulevards Apts</t>
  </si>
  <si>
    <t>Culver Place</t>
  </si>
  <si>
    <t>Valley View Apts</t>
  </si>
  <si>
    <t>Paxson Place</t>
  </si>
  <si>
    <t>Pullman Apts</t>
  </si>
  <si>
    <t>Fire Tower Apts</t>
  </si>
  <si>
    <t>Ventura Villas</t>
  </si>
  <si>
    <t>Havre Hills</t>
  </si>
  <si>
    <t>HRDC IX / GL Dev</t>
  </si>
  <si>
    <t>The Housing Company</t>
  </si>
  <si>
    <t>Summitt Hsing Group</t>
  </si>
  <si>
    <t>American Covenant Sr Hsing</t>
  </si>
  <si>
    <t>HRC - Missoula</t>
  </si>
  <si>
    <t>Wishcamper Dev Ptnrs</t>
  </si>
  <si>
    <t>AC Solutions / HRDC IV</t>
  </si>
  <si>
    <t>234 Shelter Valley Dr</t>
  </si>
  <si>
    <t>Gerald Fritts</t>
  </si>
  <si>
    <t>gmf@acshf.com</t>
  </si>
  <si>
    <t>Dianne Hunt</t>
  </si>
  <si>
    <t>dianne@syringaproperties.com</t>
  </si>
  <si>
    <t>1601 Jerome Place</t>
  </si>
  <si>
    <t>gleuwer1139@msn.com</t>
  </si>
  <si>
    <t>131 S Higgins Ave STE P-1</t>
  </si>
  <si>
    <t>Tyson O'Connell</t>
  </si>
  <si>
    <t>tyson.oconnell@wishrockgroup.com</t>
  </si>
  <si>
    <t>835 5th Ave</t>
  </si>
  <si>
    <t>Andrew Chanania</t>
  </si>
  <si>
    <t>chananiasolutions@gmail.com</t>
  </si>
  <si>
    <t>PO Box 6943</t>
  </si>
  <si>
    <t>blakej@ihfa.org</t>
  </si>
  <si>
    <t>283 West Front St #1</t>
  </si>
  <si>
    <t>Credit Type</t>
  </si>
  <si>
    <t>Type of Construction</t>
  </si>
  <si>
    <t>Population</t>
  </si>
  <si>
    <t>Alpenglow</t>
  </si>
  <si>
    <t>Arlee</t>
  </si>
  <si>
    <t>2400 S 9th ST W</t>
  </si>
  <si>
    <t>6 S Park Ave</t>
  </si>
  <si>
    <t>Timber Ridge Apts (9% of 4/9)</t>
  </si>
  <si>
    <t>300 Stonegate Dr</t>
  </si>
  <si>
    <t>501 Welcome Way</t>
  </si>
  <si>
    <t>MRM Unified Campus</t>
  </si>
  <si>
    <t>Laurel Depot</t>
  </si>
  <si>
    <t>Ponderosa Acres 4%</t>
  </si>
  <si>
    <t>Silver Bow 4%</t>
  </si>
  <si>
    <t>Garfield Flats</t>
  </si>
  <si>
    <t>Washoe Place</t>
  </si>
  <si>
    <t>Hardin Senior Housing</t>
  </si>
  <si>
    <t>Harmony Meadows</t>
  </si>
  <si>
    <t>Gateway Vista II</t>
  </si>
  <si>
    <t>Tower Commons</t>
  </si>
  <si>
    <t>(248) 268-3289</t>
  </si>
  <si>
    <t>ceo@ywcabillings.org</t>
  </si>
  <si>
    <t>(406) 252-6303</t>
  </si>
  <si>
    <t>Steve Demoke</t>
  </si>
  <si>
    <t>steve@gmddevelopment.com</t>
  </si>
  <si>
    <t>(206) 745-6464</t>
  </si>
  <si>
    <t>Joe Gervais</t>
  </si>
  <si>
    <t>jgervais@blackfeethousing.org</t>
  </si>
  <si>
    <t>(406) 450-5538</t>
  </si>
  <si>
    <t>HAB/Homeword Inc</t>
  </si>
  <si>
    <t>Affiliated Develors</t>
  </si>
  <si>
    <t>GMD/Homeword</t>
  </si>
  <si>
    <t xml:space="preserve">Blackfeet Housing </t>
  </si>
  <si>
    <t>Kalispell Family 9%</t>
  </si>
  <si>
    <t>Kalispell Family 4%</t>
  </si>
  <si>
    <t>311 West Main St</t>
  </si>
  <si>
    <t>Homeword</t>
  </si>
  <si>
    <t>Rockcress 9%</t>
  </si>
  <si>
    <t>Red Alder 9%</t>
  </si>
  <si>
    <t>Jackson Court 9%</t>
  </si>
  <si>
    <t>220 Curtis St</t>
  </si>
  <si>
    <t>1301 Industrial Ave</t>
  </si>
  <si>
    <t>Hampstead</t>
  </si>
  <si>
    <t>7514 Wisconsin Ave STE 350</t>
  </si>
  <si>
    <t>Community Preservation Partners</t>
  </si>
  <si>
    <t>Bethesda</t>
  </si>
  <si>
    <t>MD</t>
  </si>
  <si>
    <t>jeff@hampstead.com</t>
  </si>
  <si>
    <t>306 Courtyard Circle</t>
  </si>
  <si>
    <t>Thomas Development</t>
  </si>
  <si>
    <t>Northwest Integrity Housing</t>
  </si>
  <si>
    <t>tmannschreck@thomasdevelopment.com</t>
  </si>
  <si>
    <t>202 8th Ave</t>
  </si>
  <si>
    <t>GL Development</t>
  </si>
  <si>
    <t>North Fork Developers</t>
  </si>
  <si>
    <t>gleuwer1139 @msn.com / andrew@northforkdevelopment.com</t>
  </si>
  <si>
    <t>Apsaalooke National Housing Authority</t>
  </si>
  <si>
    <t>PO Box 99</t>
  </si>
  <si>
    <t>m.smith@a-resource.com</t>
  </si>
  <si>
    <t>2822 Minnesota</t>
  </si>
  <si>
    <t>Montana Rescue Mission</t>
  </si>
  <si>
    <t>PO Box 3232</t>
  </si>
  <si>
    <t>mattl@billingslf.org</t>
  </si>
  <si>
    <t>510 Jackson St</t>
  </si>
  <si>
    <t>Anderson Consulting</t>
  </si>
  <si>
    <t>gleuwer1139 @msn.com / lr.anderson@outlook.com</t>
  </si>
  <si>
    <t>beki@blackfoot.net</t>
  </si>
  <si>
    <t>Butte Affordable Housing</t>
  </si>
  <si>
    <t>Good Housing Partnership</t>
  </si>
  <si>
    <t>2020 Curtis St</t>
  </si>
  <si>
    <t>rstordahl@buttehousing.org</t>
  </si>
  <si>
    <t>1619 Tschache Ln</t>
  </si>
  <si>
    <t>GMD Development LLC</t>
  </si>
  <si>
    <t>HRDC IX</t>
  </si>
  <si>
    <t>520 Pike St STE 1010</t>
  </si>
  <si>
    <t>steve@gmddevelopment.com and tmenuez@thehrdc.org</t>
  </si>
  <si>
    <t>1683 Tschache Ln</t>
  </si>
  <si>
    <t>1 Circle Ln (scattered sites)</t>
  </si>
  <si>
    <t>Fort Belknap Housing III</t>
  </si>
  <si>
    <t>Arrowleaf Park Apartments 4%</t>
  </si>
  <si>
    <t>Perennial Park Apartments 4%</t>
  </si>
  <si>
    <t>Red Alder 4%</t>
  </si>
  <si>
    <t>Copper Ridge 4%</t>
  </si>
  <si>
    <t>Rockcress 4%</t>
  </si>
  <si>
    <t>Big Sky Manor resynd 4%</t>
  </si>
  <si>
    <t>River Run Apartments 4%</t>
  </si>
  <si>
    <t>Larkspur Commons 4%</t>
  </si>
  <si>
    <t>Silver Bow Village 4%</t>
  </si>
  <si>
    <t>Rainbow House 4%</t>
  </si>
  <si>
    <t>Treasure State Plaza Apartments 4%</t>
  </si>
  <si>
    <t>Glacier Manor Apartments 4%</t>
  </si>
  <si>
    <t>South Forty Apartments 4%</t>
  </si>
  <si>
    <t>Sage Tower 4%</t>
  </si>
  <si>
    <t>Fraser Tower 4%</t>
  </si>
  <si>
    <t>Rose Park Plaza 4%</t>
  </si>
  <si>
    <t>Miles Building 4%</t>
  </si>
  <si>
    <t>Sundridge Pointe (Valley View) 4%</t>
  </si>
  <si>
    <t>Parkside Village Apts 4%</t>
  </si>
  <si>
    <t>Pebblestone (Lavatta Villa) 4%</t>
  </si>
  <si>
    <t>Burnt Fork Place</t>
  </si>
  <si>
    <t>Bitterroot Valley Apts (old Mtn View (1 of 2, 4% of 4/9)**Resyd</t>
  </si>
  <si>
    <t>Bitterroot Valley Apts (old Bitt Comm2 of 2, 4% of 4/9)**Resyd</t>
  </si>
  <si>
    <t>Blackfeet VI</t>
  </si>
  <si>
    <t>Rosalie Manor 4%</t>
  </si>
  <si>
    <t>Leggat 4%</t>
  </si>
  <si>
    <t>Elm Street 4%</t>
  </si>
  <si>
    <t>50 W Broadway</t>
  </si>
  <si>
    <t>1125 S Main St</t>
  </si>
  <si>
    <t>1500 Elm St</t>
  </si>
  <si>
    <t>AI</t>
  </si>
  <si>
    <t>40/60</t>
  </si>
  <si>
    <t>Date of Award</t>
  </si>
  <si>
    <t>Min Set Aside</t>
  </si>
  <si>
    <t>Market Need # of Units</t>
  </si>
  <si>
    <t>Carter Commons</t>
  </si>
  <si>
    <t>Junegrass Place 9%</t>
  </si>
  <si>
    <t>Riverview Apts</t>
  </si>
  <si>
    <t>Bicentennial Apts</t>
  </si>
  <si>
    <t>Baatz Perm Supp Apts</t>
  </si>
  <si>
    <t>Cabinet Aff Housing</t>
  </si>
  <si>
    <t>Tapestry Apts</t>
  </si>
  <si>
    <t>Valley Court Apts</t>
  </si>
  <si>
    <t>River Ridge Apts</t>
  </si>
  <si>
    <t>South Lake Apts</t>
  </si>
  <si>
    <t>Yellowstone Plaza</t>
  </si>
  <si>
    <t>Grant Creek Commons</t>
  </si>
  <si>
    <t>Polson Shores</t>
  </si>
  <si>
    <t>GMD Dev/Homeword</t>
  </si>
  <si>
    <t>Blueline Development</t>
  </si>
  <si>
    <t>Dawson Holdings, Inc</t>
  </si>
  <si>
    <t>Homeword / NWGF</t>
  </si>
  <si>
    <t>Oak Leaf Community Dev</t>
  </si>
  <si>
    <t>ACSHF / Comm Action</t>
  </si>
  <si>
    <t>CLDI Holdings</t>
  </si>
  <si>
    <t>Cordes Development</t>
  </si>
  <si>
    <t>Boundary Dev and HRDC</t>
  </si>
  <si>
    <t>Ryan Jones Consulting</t>
  </si>
  <si>
    <t>Misosula</t>
  </si>
  <si>
    <t>Aurora</t>
  </si>
  <si>
    <t>Portland</t>
  </si>
  <si>
    <t xml:space="preserve">Boulder </t>
  </si>
  <si>
    <t>Steve Dymoke</t>
  </si>
  <si>
    <t>Tim Fluetsch</t>
  </si>
  <si>
    <t>Heather McMillan</t>
  </si>
  <si>
    <t>Eric Basye</t>
  </si>
  <si>
    <t xml:space="preserve">Paul Capps </t>
  </si>
  <si>
    <t>Shawne Mastronardi</t>
  </si>
  <si>
    <t>Joseph Walsh</t>
  </si>
  <si>
    <t>Ryan Jones</t>
  </si>
  <si>
    <t>nate@bluelinedevelopment.com</t>
  </si>
  <si>
    <t>tfluetsch@d-h-i.net</t>
  </si>
  <si>
    <t>eric@cldibillings.org</t>
  </si>
  <si>
    <t>Paul@Summithousinggroup.com</t>
  </si>
  <si>
    <t>team.cordes@earthlink.net</t>
  </si>
  <si>
    <t>joe@boundarydev.com</t>
  </si>
  <si>
    <t>ryan@rchjoneshousing.com</t>
  </si>
  <si>
    <t>406.256.3002</t>
  </si>
  <si>
    <t>406.431.2151</t>
  </si>
  <si>
    <t>406.322.3337</t>
  </si>
  <si>
    <t>914.441.3880</t>
  </si>
  <si>
    <t>503.784.9411</t>
  </si>
  <si>
    <t>303.305.8128</t>
  </si>
  <si>
    <t>107 South 2nd St</t>
  </si>
  <si>
    <t>Good Housing Ptrship / HRDC IX</t>
  </si>
  <si>
    <t>Geoff Anderson</t>
  </si>
  <si>
    <t>geoffanderson@goodhousingpartnership.com</t>
  </si>
  <si>
    <t>325 S Main St</t>
  </si>
  <si>
    <t>Sherwood Apts 4%</t>
  </si>
  <si>
    <t>605 N 5th St</t>
  </si>
  <si>
    <t>Darlinton Manor Apts 4%</t>
  </si>
  <si>
    <t>Boulevards Apts 4%</t>
  </si>
  <si>
    <t>Villagio 4%</t>
  </si>
  <si>
    <t>6 W Babcock</t>
  </si>
  <si>
    <t>104 East Main St STE 104</t>
  </si>
  <si>
    <t>1140 - 1180 Otis St</t>
  </si>
  <si>
    <t>ldavidson@missoulahousing.org</t>
  </si>
  <si>
    <t>total</t>
  </si>
  <si>
    <t>Trinity 4%</t>
  </si>
  <si>
    <t xml:space="preserve">1645 Cooley St., 1370 N. Burns St., 1660 Stoddard St., 1325 S. Cowper St., 2200, 2210, 2220 Mullan Rd. </t>
  </si>
  <si>
    <t>59802/59808</t>
  </si>
  <si>
    <t>Homeword / Missoula HA / Blueline</t>
  </si>
  <si>
    <t>Missoula Housing Authority / Blueline</t>
  </si>
  <si>
    <t>Lori Davidson / Nathan Richmond</t>
  </si>
  <si>
    <t>Andrea Davis / Nathan Richmond</t>
  </si>
  <si>
    <t>Rowhouse</t>
  </si>
  <si>
    <t>Paul Capp</t>
  </si>
  <si>
    <t>paul@summithousinggroup.com</t>
  </si>
  <si>
    <t>712 8th Ave</t>
  </si>
  <si>
    <t>126 N Main</t>
  </si>
  <si>
    <t>Spruce Grove-Laurel 4%</t>
  </si>
  <si>
    <t>Spruce Grove_Joliet 4%</t>
  </si>
  <si>
    <t>Ext Yrs</t>
  </si>
  <si>
    <t>Comstock Apts II</t>
  </si>
  <si>
    <t>Comstock Apts Phase III</t>
  </si>
  <si>
    <t>Miles Building 4% (resyndicated 2021)</t>
  </si>
  <si>
    <t>Mountain View Apartments (resyndicated 2021)</t>
  </si>
  <si>
    <t>Lat</t>
  </si>
  <si>
    <t>Long</t>
  </si>
  <si>
    <t>Total Project Costs</t>
  </si>
  <si>
    <t>Wishcamper Dev Ptnrs/NWGF</t>
  </si>
  <si>
    <t>GMD Development LLC/NWGF</t>
  </si>
  <si>
    <t>Monfic Inc</t>
  </si>
  <si>
    <t>GMD Development / Homeword</t>
  </si>
  <si>
    <t>Thomas Development/Butte HA</t>
  </si>
  <si>
    <t>GL Development/RMDC</t>
  </si>
  <si>
    <t>422 1st St SW</t>
  </si>
  <si>
    <t>Valley Villas II (resyndicated 2016)</t>
  </si>
  <si>
    <t>101 Elderberry Ln</t>
  </si>
  <si>
    <t>Fort Peck Homes II</t>
  </si>
  <si>
    <t>Chippewa Cree Homes</t>
  </si>
  <si>
    <t>Apsaalooke HA Homes I</t>
  </si>
  <si>
    <t>Hardin Senior Hsing (resyd of Rangeview Apts)</t>
  </si>
  <si>
    <t>Edgewood Apartments (now Brush Meadows II)</t>
  </si>
  <si>
    <t>Farmhouse Apartments I (Gallatin Trails I)</t>
  </si>
  <si>
    <t>Farmhouse Apartments III (Gallatin Trails III)</t>
  </si>
  <si>
    <t>Farmhouse Apts II Bldg 5&amp;6 (Gallatin Trails II)</t>
  </si>
  <si>
    <t>Brush Meadow Apartments I</t>
  </si>
  <si>
    <t>725 North Walnut Street</t>
  </si>
  <si>
    <t>119 Elderberry Lane</t>
  </si>
  <si>
    <t>208-343-8877 x202</t>
  </si>
  <si>
    <t>115 S 30th St</t>
  </si>
  <si>
    <t>PO Box 3381</t>
  </si>
  <si>
    <t>Ave Inc</t>
  </si>
  <si>
    <t>400 2nd Ave S</t>
  </si>
  <si>
    <t>1535 Liberty Ln STE 116A</t>
  </si>
  <si>
    <t>mgr 60%</t>
  </si>
  <si>
    <t>76 W Center St</t>
  </si>
  <si>
    <t>7250 Redwood Blvd STE 214</t>
  </si>
  <si>
    <t>Novato</t>
  </si>
  <si>
    <t>1079 N Meridian Rd</t>
  </si>
  <si>
    <t>1083 N Meridian Rd</t>
  </si>
  <si>
    <t>520 Pike St</t>
  </si>
  <si>
    <t>Junegrass Place 4%</t>
  </si>
  <si>
    <t>1315-1325 Jefferson Ave</t>
  </si>
  <si>
    <t>500 3rd St South</t>
  </si>
  <si>
    <t>Crowley Flats (add'l credits see orig below)</t>
  </si>
  <si>
    <t>Crowley Flats( orig credits see add'l credits above)</t>
  </si>
  <si>
    <t>Lone Mountain Tr &amp; Jeep Tr</t>
  </si>
  <si>
    <t>Jason Boal</t>
  </si>
  <si>
    <t>1004 South Ave W</t>
  </si>
  <si>
    <t>jason@bluelinedevelopment.com</t>
  </si>
  <si>
    <t>MT Rockcress 9% LLLP</t>
  </si>
  <si>
    <t>Spring Creek Apts 2 LP</t>
  </si>
  <si>
    <t>Big Sky Preservation LP</t>
  </si>
  <si>
    <t>Castlebar Phase II (see resynd 2021)</t>
  </si>
  <si>
    <t>Castlebar (see resynd 2021)</t>
  </si>
  <si>
    <t>DevCo Preservation</t>
  </si>
  <si>
    <t>Michael Volz</t>
  </si>
  <si>
    <t>10900 NE 8th St STE 1200</t>
  </si>
  <si>
    <t>Bellevue</t>
  </si>
  <si>
    <t>michael.volz@devcowa.com</t>
  </si>
  <si>
    <t>Big Sky Apts II</t>
  </si>
  <si>
    <t>na</t>
  </si>
  <si>
    <t>Little Jon Rehab (resyndicated)</t>
  </si>
  <si>
    <t>Fort Peck I</t>
  </si>
  <si>
    <t>Cascade Ridge II - Additional Allocation See 2015 Orig</t>
  </si>
  <si>
    <t>Eagles Manor II</t>
  </si>
  <si>
    <t>Eagles Manor III</t>
  </si>
  <si>
    <t>Union Place II</t>
  </si>
  <si>
    <t>Forsyth Village II</t>
  </si>
  <si>
    <t>Hailey II Apartments</t>
  </si>
  <si>
    <t>Heights Centennial Apartments II</t>
  </si>
  <si>
    <t>Homestead Lodge Apartments (resyndicated 2020)</t>
  </si>
  <si>
    <t>Lake Apartments compliance fulfilled</t>
  </si>
  <si>
    <t>Main Street Apartments (H&amp;G)</t>
  </si>
  <si>
    <t>Meridian Pointe II</t>
  </si>
  <si>
    <t xml:space="preserve">Meridian Pointe I </t>
  </si>
  <si>
    <t>Aspen Place II - Butte (Atherton II)</t>
  </si>
  <si>
    <t>Mountain  Apartments I</t>
  </si>
  <si>
    <t>Mountain Apartments II</t>
  </si>
  <si>
    <t>Bridger Apartments II</t>
  </si>
  <si>
    <t>Darlinton Manor Apts** resyndicated 2021</t>
  </si>
  <si>
    <t>Sparrow Lane Homes, Phase II</t>
  </si>
  <si>
    <t>Coad II</t>
  </si>
  <si>
    <t>Coad III</t>
  </si>
  <si>
    <t>Town Site (NHS) Apartments</t>
  </si>
  <si>
    <t>Big Sky Apts I</t>
  </si>
  <si>
    <t>Aspen Meadows (Qualified Contract)</t>
  </si>
  <si>
    <t>Aspen Place I (Atherton I)</t>
  </si>
  <si>
    <t>Central Court Village Ph II (done the same time as phase I)</t>
  </si>
  <si>
    <t>Central Court Village Ph I (done the same time as phase II)</t>
  </si>
  <si>
    <t>Teakettle Vista Apartments II</t>
  </si>
  <si>
    <t>Teakettle Vista Apts I</t>
  </si>
  <si>
    <t>Placed in Service (earliest date)</t>
  </si>
  <si>
    <t>Resyn 2021</t>
  </si>
  <si>
    <t>resynd 2021</t>
  </si>
  <si>
    <t>Green Meadow Apts** (see above)</t>
  </si>
  <si>
    <t>Green Meadow Manor Apts (see below)</t>
  </si>
  <si>
    <t>Mountain View Apartments III</t>
  </si>
  <si>
    <t>67 Box Bird Lane</t>
  </si>
  <si>
    <t>Acre Lawn Apartments II</t>
  </si>
  <si>
    <t>Acre Lawn Apartments I</t>
  </si>
  <si>
    <t>121 Second Ave West</t>
  </si>
  <si>
    <t>Emporda 4%- Resyd Courtyard I &amp; II</t>
  </si>
  <si>
    <t>Courtyards II @ Corvallis (resyn 2020 Emporda)</t>
  </si>
  <si>
    <t>Courtyards I @ Corvallis (resynd 2020 Emporda)</t>
  </si>
  <si>
    <t>resynd 2020</t>
  </si>
  <si>
    <t>resyd 2020</t>
  </si>
  <si>
    <t>Bridger Peaks Village</t>
  </si>
  <si>
    <t>1483 North 15Th Avenue</t>
  </si>
  <si>
    <t>Acme Hotel (see add'l 2003 credits)</t>
  </si>
  <si>
    <t>Acme (see orig 2002 credits)</t>
  </si>
  <si>
    <t>Fort Belknap I Agency</t>
  </si>
  <si>
    <t>Fort Belknap II Renovation Project</t>
  </si>
  <si>
    <t>Eagles Manor I Penkay</t>
  </si>
  <si>
    <t>Castle Mountain Apartments</t>
  </si>
  <si>
    <t>Mountain View III</t>
  </si>
  <si>
    <t>Bitterroot Commons II (resyndicated 2021)</t>
  </si>
  <si>
    <t>Bitterroot Commons I (resyndicated 2021)</t>
  </si>
  <si>
    <t>Mountain View Apartments II</t>
  </si>
  <si>
    <t>Blackfeet Homes V</t>
  </si>
  <si>
    <t>Credit Year</t>
  </si>
  <si>
    <t>Project Name</t>
  </si>
  <si>
    <t>Project Address</t>
  </si>
  <si>
    <t>Owner 1</t>
  </si>
  <si>
    <t>Owner 2</t>
  </si>
  <si>
    <t>Owner Adress</t>
  </si>
  <si>
    <t>ST</t>
  </si>
  <si>
    <t>Zip</t>
  </si>
  <si>
    <t>Email</t>
  </si>
  <si>
    <t>2-Bdrm</t>
  </si>
  <si>
    <t>3-Bdrm</t>
  </si>
  <si>
    <t>4-Bdrm</t>
  </si>
  <si>
    <t>5-Bdrm</t>
  </si>
  <si>
    <t>Mkt</t>
  </si>
  <si>
    <t>Mgr</t>
  </si>
  <si>
    <t>Winnett Apartments compliance fulfilled</t>
  </si>
  <si>
    <t>1483 N 15th Ave</t>
  </si>
  <si>
    <t>chase.huber@devcowa.com</t>
  </si>
  <si>
    <t>1st Year Credit Period per 8609</t>
  </si>
  <si>
    <t>Date Used to Calc Comp Period</t>
  </si>
  <si>
    <t>End YR 15 (Dec 31)</t>
  </si>
  <si>
    <t xml:space="preserve">End of Comp (Dec 31). </t>
  </si>
  <si>
    <t>ANHA LIHTC #2</t>
  </si>
  <si>
    <t>Sage Grouse Homes</t>
  </si>
  <si>
    <t>Creekside Apartments 9%</t>
  </si>
  <si>
    <t>Valley View Village</t>
  </si>
  <si>
    <t>Yellowstone Plaza 9%</t>
  </si>
  <si>
    <t>Valley Court Apartments</t>
  </si>
  <si>
    <t>Bigfork Senior Housing</t>
  </si>
  <si>
    <t>Cherry Orchard</t>
  </si>
  <si>
    <t>Centennial Village</t>
  </si>
  <si>
    <t>Castlebar 4%</t>
  </si>
  <si>
    <t>Apsaalooke Nation HA</t>
  </si>
  <si>
    <t>Amer Covenant / CAP NWMT</t>
  </si>
  <si>
    <t>Homeword Inc</t>
  </si>
  <si>
    <t>Northwest Real Estate Cap</t>
  </si>
  <si>
    <t>Boundary Dev / HRDC</t>
  </si>
  <si>
    <t>Oakleaf Community</t>
  </si>
  <si>
    <t>Community Preservation Ptrs</t>
  </si>
  <si>
    <t>GMD Development</t>
  </si>
  <si>
    <t>Non Profit</t>
  </si>
  <si>
    <t>Irvine</t>
  </si>
  <si>
    <t>bcasiano@nwrecc.org</t>
  </si>
  <si>
    <t>crosby@boundarydev.com</t>
  </si>
  <si>
    <t>kbuckland@cpp-housing.com</t>
  </si>
  <si>
    <t>No Award LOI</t>
  </si>
  <si>
    <t>No Award FA</t>
  </si>
  <si>
    <t>FA-withdrawn</t>
  </si>
  <si>
    <t>40-60</t>
  </si>
  <si>
    <t>Unit Type: SRO</t>
  </si>
  <si>
    <t>400 Commerce Way</t>
  </si>
  <si>
    <t>1405 E Broadway St</t>
  </si>
  <si>
    <t>Creekside Apartments 4%</t>
  </si>
  <si>
    <t>Chief Elected Official</t>
  </si>
  <si>
    <t>Organization</t>
  </si>
  <si>
    <t>Address</t>
  </si>
  <si>
    <t>Targeting Summary</t>
  </si>
  <si>
    <t>40% / 50% / 60%</t>
  </si>
  <si>
    <t>30% / 60%</t>
  </si>
  <si>
    <t>50% / 60%</t>
  </si>
  <si>
    <t>60%</t>
  </si>
  <si>
    <t>Crow Tribe</t>
  </si>
  <si>
    <t>PO Box 159</t>
  </si>
  <si>
    <t>Bob Kelly Mayor</t>
  </si>
  <si>
    <t>Frank White Clay Chairman</t>
  </si>
  <si>
    <t>City of Great Falls</t>
  </si>
  <si>
    <t>PO Box 5021</t>
  </si>
  <si>
    <t>bkelly@greatfallsmt.net</t>
  </si>
  <si>
    <t>whiteclay.frank@gmail.com</t>
  </si>
  <si>
    <t>Peggy Williams Mayor</t>
  </si>
  <si>
    <t>City of Libby</t>
  </si>
  <si>
    <t>952 East Spruce St</t>
  </si>
  <si>
    <t>libbylocal@yahoo.com</t>
  </si>
  <si>
    <t>John Engen Mayor</t>
  </si>
  <si>
    <t>City of Missoula</t>
  </si>
  <si>
    <t>City of Helena</t>
  </si>
  <si>
    <t>435 Ryman St</t>
  </si>
  <si>
    <t>1619 Butte Ave</t>
  </si>
  <si>
    <t>Wilmot J. Collins Mayor</t>
  </si>
  <si>
    <t>316 N Park Ave</t>
  </si>
  <si>
    <t>wcollins@helenamt.gov</t>
  </si>
  <si>
    <t>4000 Corto Road</t>
  </si>
  <si>
    <t>Ben Casiano</t>
  </si>
  <si>
    <t>J.P. Gallagher Chief Executive</t>
  </si>
  <si>
    <t>Butte-Silver Bow</t>
  </si>
  <si>
    <t>155 W Granite St Rm 106</t>
  </si>
  <si>
    <t>jpgallagher@bsb.mt.gov</t>
  </si>
  <si>
    <t>Comstock Apts (resyn Comstock I, II, II)</t>
  </si>
  <si>
    <t>Chase Huber</t>
  </si>
  <si>
    <t>Cyndy Andrus</t>
  </si>
  <si>
    <t>City of Bozeman</t>
  </si>
  <si>
    <t>121 N Rouse Ave</t>
  </si>
  <si>
    <t>Status</t>
  </si>
  <si>
    <t>Lake Co CHDO and RCAC</t>
  </si>
  <si>
    <t>resynd 2023</t>
  </si>
  <si>
    <t>Sunshine</t>
  </si>
  <si>
    <t>Broadview Manor West</t>
  </si>
  <si>
    <t>Broadview Manor East</t>
  </si>
  <si>
    <t>South Forty Apartments 4% (resynd orig 2007)</t>
  </si>
  <si>
    <t>Brian Moloney</t>
  </si>
  <si>
    <t>401 Wilshire Blvd Ste 1070</t>
  </si>
  <si>
    <t>Santa Monica</t>
  </si>
  <si>
    <t>bmoloney@lincolnavecap.com</t>
  </si>
  <si>
    <t>Bill Cole Mayor</t>
  </si>
  <si>
    <t>City of Billings</t>
  </si>
  <si>
    <t>PO Box 1178</t>
  </si>
  <si>
    <t>coleb@billingsmt.gov</t>
  </si>
  <si>
    <t>710 &amp; 714 4th Ave NW</t>
  </si>
  <si>
    <t>600 13th Ave South</t>
  </si>
  <si>
    <t>720 &amp; 724 42A St North</t>
  </si>
  <si>
    <t>Karen Buckland</t>
  </si>
  <si>
    <t>Community Preservation Partners/Hampstead</t>
  </si>
  <si>
    <t>17782 Sky Park Circle</t>
  </si>
  <si>
    <t>commision@greatfallmt.net</t>
  </si>
  <si>
    <t>Jordan Hess Mayor</t>
  </si>
  <si>
    <t>mayorstaff@ci.missoula.mt.us</t>
  </si>
  <si>
    <t>Bluebunch Flats (see original credits 2018)</t>
  </si>
  <si>
    <t>Bluebunch Flats (see add'l credits 2019)</t>
  </si>
  <si>
    <t>Eff (0-bdrn)</t>
  </si>
  <si>
    <t>Polson Gardens</t>
  </si>
  <si>
    <t>Twin Creek Apts 9</t>
  </si>
  <si>
    <t>Twin Creek Apts 4</t>
  </si>
  <si>
    <t>Mitchell Court</t>
  </si>
  <si>
    <t>The Grand Apartments</t>
  </si>
  <si>
    <t>Bridge Apartments</t>
  </si>
  <si>
    <t>Riverstone Senior Res</t>
  </si>
  <si>
    <t>Lake County</t>
  </si>
  <si>
    <t>Housing Solutions, LLC</t>
  </si>
  <si>
    <t>United Housing Ptnrs LLC</t>
  </si>
  <si>
    <t>Immanuel Luth/CR Blders</t>
  </si>
  <si>
    <t>Community Pres Prtnrs</t>
  </si>
  <si>
    <t>Blueline Development, Inc.</t>
  </si>
  <si>
    <t>tyson@uhousingpartners.com</t>
  </si>
  <si>
    <t>jcronk@ilcorp.org</t>
  </si>
  <si>
    <t>austinr@summithousinggroup.com</t>
  </si>
  <si>
    <t>40/50/60</t>
  </si>
  <si>
    <t>30/60/70</t>
  </si>
  <si>
    <t>30/50/60</t>
  </si>
  <si>
    <t>50/60</t>
  </si>
  <si>
    <t>Crestview Apts (resyn 2023)</t>
  </si>
  <si>
    <t>N 3rd Apts</t>
  </si>
  <si>
    <t>The Manor</t>
  </si>
  <si>
    <t>Highland Manor (resyndicated 2023)</t>
  </si>
  <si>
    <t>Highland Manor 4% (orig 1993 resyn)</t>
  </si>
  <si>
    <t>Doug Kaercher Mayor</t>
  </si>
  <si>
    <t>City of Havre</t>
  </si>
  <si>
    <t>520 4th St</t>
  </si>
  <si>
    <t>Sapphire Lutheran Homes</t>
  </si>
  <si>
    <t>charden@stjohnsunited.org</t>
  </si>
  <si>
    <t>Cole Harden</t>
  </si>
  <si>
    <t>Dominic Farrenkopf Mayor</t>
  </si>
  <si>
    <t>City of Hamilton</t>
  </si>
  <si>
    <t>223 S 2nd St</t>
  </si>
  <si>
    <t xml:space="preserve">Hamilton </t>
  </si>
  <si>
    <t>dfarrenkopf@cityofhamilton.net</t>
  </si>
  <si>
    <t>624 5th Ave NW</t>
  </si>
  <si>
    <t>Samantha Cullen</t>
  </si>
  <si>
    <t>415 First Avenue North, STE 19240</t>
  </si>
  <si>
    <t xml:space="preserve">Seattle </t>
  </si>
  <si>
    <t>samantha.cullen@vitus.com</t>
  </si>
  <si>
    <t>(206) 832-1326</t>
  </si>
  <si>
    <t xml:space="preserve">MT </t>
  </si>
  <si>
    <t>(406) 870-0212</t>
  </si>
  <si>
    <t>2500 Great Northern Loop</t>
  </si>
  <si>
    <t>Parkview Village - Vitus</t>
  </si>
  <si>
    <t>6 6th Street S</t>
  </si>
  <si>
    <t>Ryan Kucich</t>
  </si>
  <si>
    <t>rkucich@cpp-housing.com</t>
  </si>
  <si>
    <t>Bob Kelly Manor</t>
  </si>
  <si>
    <t>commission@greatfallsmt.net</t>
  </si>
  <si>
    <t>120 West Broadway St</t>
  </si>
  <si>
    <t>Austin Richardson</t>
  </si>
  <si>
    <t>2525 Palmer St STE 1</t>
  </si>
  <si>
    <t>JP Gallagher Chief Executive</t>
  </si>
  <si>
    <t>Butte Silver Bow</t>
  </si>
  <si>
    <t>jgallagher@bsb.mt.gov</t>
  </si>
  <si>
    <t>1205 West Broadway St</t>
  </si>
  <si>
    <t>1004 South Ave West</t>
  </si>
  <si>
    <t>Jason Hess Mayor</t>
  </si>
  <si>
    <t>706 North 7th Ave</t>
  </si>
  <si>
    <t>PO Box 6220</t>
  </si>
  <si>
    <t>Cyndy Andrus Mayor</t>
  </si>
  <si>
    <t>545 Blaine St</t>
  </si>
  <si>
    <t>Wilmot Collins Mayor</t>
  </si>
  <si>
    <t>wcollins@helena.gov</t>
  </si>
  <si>
    <t>4154 Mitchell Ave</t>
  </si>
  <si>
    <t>1625 E 6th Ave</t>
  </si>
  <si>
    <t>383 Hawk Dr</t>
  </si>
  <si>
    <t>Jason Cronk</t>
  </si>
  <si>
    <t>185 Crestline Dr</t>
  </si>
  <si>
    <t>Eric Huffine Mayor</t>
  </si>
  <si>
    <t>City of Polson</t>
  </si>
  <si>
    <t>106 1st St East</t>
  </si>
  <si>
    <t>mayor@cityofpolson.com</t>
  </si>
  <si>
    <t>30/50/60/mkt</t>
  </si>
  <si>
    <t>mkt</t>
  </si>
  <si>
    <t>123 Skeels Ave</t>
  </si>
  <si>
    <t>Reuter Walton Development LLC</t>
  </si>
  <si>
    <t>Paul Keenen</t>
  </si>
  <si>
    <t>4450 Excelsior Blvd STE 400</t>
  </si>
  <si>
    <t>St Louis Park</t>
  </si>
  <si>
    <t>pkeenan@reuterwalton.com</t>
  </si>
  <si>
    <t>American Covenant Senior Housing</t>
  </si>
  <si>
    <t>699 N 3rd Ave</t>
  </si>
  <si>
    <t>50/60/70</t>
  </si>
  <si>
    <t>Vitus Development IV LLC</t>
  </si>
  <si>
    <t>Pamela Homquist Commissioner</t>
  </si>
  <si>
    <t>Flathead County</t>
  </si>
  <si>
    <t>800 S Main</t>
  </si>
  <si>
    <t>pam.holmquist@flathead.mt.gov</t>
  </si>
  <si>
    <t>30/60</t>
  </si>
  <si>
    <t>Meadowlark Senior</t>
  </si>
  <si>
    <t>1525 North 14th Ave</t>
  </si>
  <si>
    <t>2561 Trade Wind Ln</t>
  </si>
  <si>
    <t>401 N 10th St</t>
  </si>
  <si>
    <t>Bill Cole</t>
  </si>
  <si>
    <t>406-657-8296</t>
  </si>
  <si>
    <t>coleb@ci.billings.mt.us</t>
  </si>
  <si>
    <t>406-870-0212</t>
  </si>
  <si>
    <t>Mayor Dr. Michael Klakken</t>
  </si>
  <si>
    <t>City of Dillon</t>
  </si>
  <si>
    <t>125 N. Idaho St.</t>
  </si>
  <si>
    <t>mayor@dillonmt.org</t>
  </si>
  <si>
    <t>406-683-4245</t>
  </si>
  <si>
    <t>Mayor Mark Johnson</t>
  </si>
  <si>
    <t>City of Kalispell</t>
  </si>
  <si>
    <t>PO Box 1997</t>
  </si>
  <si>
    <t>mjohnson@kalispell.com</t>
  </si>
  <si>
    <t>406-758-7756</t>
  </si>
  <si>
    <t>40%/50%60%</t>
  </si>
  <si>
    <t>Scott MacFarlane</t>
  </si>
  <si>
    <t>Gallatin County</t>
  </si>
  <si>
    <t>311 W. Main St. Room 306</t>
  </si>
  <si>
    <t xml:space="preserve">Bozeman </t>
  </si>
  <si>
    <t>pam.hamlin@gallatin.mt.gov</t>
  </si>
  <si>
    <t>406-582-3000</t>
  </si>
  <si>
    <t>1535 Liberty Ln Suite 116A</t>
  </si>
  <si>
    <t>4065324663 ext. 36</t>
  </si>
  <si>
    <t>City Commission Chairperson Gayle Doney</t>
  </si>
  <si>
    <t>City of Lewistown</t>
  </si>
  <si>
    <t>305 West Watson</t>
  </si>
  <si>
    <t>gdoney@ci.lewistown.mt.us</t>
  </si>
  <si>
    <t>406-535-1760</t>
  </si>
  <si>
    <t>4800 Echo Dr</t>
  </si>
  <si>
    <t>(406) 459-5332</t>
  </si>
  <si>
    <t>Dakota Mitchem</t>
  </si>
  <si>
    <t>Jolliet</t>
  </si>
  <si>
    <t xml:space="preserve">116 S. Main St </t>
  </si>
  <si>
    <t>50%/60%</t>
  </si>
  <si>
    <t>townofjoliet@gmail.com</t>
  </si>
  <si>
    <t>406-459-5332</t>
  </si>
  <si>
    <t xml:space="preserve">Mayor, Thomas Nelson </t>
  </si>
  <si>
    <t xml:space="preserve">Laurel </t>
  </si>
  <si>
    <t>115 West 1st St</t>
  </si>
  <si>
    <t xml:space="preserve"> citymayor@laurel.mt.gov</t>
  </si>
  <si>
    <t>406-628-7431</t>
  </si>
  <si>
    <t>Family/Elderly</t>
  </si>
  <si>
    <t>Bridger Peaks Apartments, LLC</t>
  </si>
  <si>
    <t>(425) 736-0580</t>
  </si>
  <si>
    <t>Bozeman,</t>
  </si>
  <si>
    <t>121 N Rouse Avenue</t>
  </si>
  <si>
    <t>(406)-582-2383</t>
  </si>
  <si>
    <t>Cabinet Affordable Housing</t>
  </si>
  <si>
    <t>Miriam Smith</t>
  </si>
  <si>
    <t>17783 Sky Park Circle</t>
  </si>
  <si>
    <t>17784 Sky Park Circle</t>
  </si>
  <si>
    <t>PO Box 5022</t>
  </si>
  <si>
    <t>PO Box 5023</t>
  </si>
  <si>
    <t>501 N 10th Ave</t>
  </si>
  <si>
    <t>bond closing date</t>
  </si>
  <si>
    <t>121 S Weast Ave</t>
  </si>
  <si>
    <t>2769 Tschache Ln</t>
  </si>
  <si>
    <t>Andrea David</t>
  </si>
  <si>
    <t>406-552-6001</t>
  </si>
  <si>
    <t>76 Glenwood Dr</t>
  </si>
  <si>
    <t>Union Place 4% (orig 2006 and 2004 ph I &amp; II)</t>
  </si>
  <si>
    <t>Eagle Seeker Housing</t>
  </si>
  <si>
    <t>Opportunity Place</t>
  </si>
  <si>
    <t>Hidden Creek 9%</t>
  </si>
  <si>
    <t>Hidden Creek 4%</t>
  </si>
  <si>
    <t>The Homestead</t>
  </si>
  <si>
    <t>Native Amer Dev / CR Builders</t>
  </si>
  <si>
    <t>42-44 Developers</t>
  </si>
  <si>
    <t>United Housing Ptnrs / HRDC Bzn</t>
  </si>
  <si>
    <t>Leonard Smith</t>
  </si>
  <si>
    <t>Tiffany Hapney</t>
  </si>
  <si>
    <t>lsmith@nadc-nabn.org</t>
  </si>
  <si>
    <t>tiffanyh@ihfa.org</t>
  </si>
  <si>
    <t>LB Lofts 9%</t>
  </si>
  <si>
    <t>LB Lofts 4%</t>
  </si>
  <si>
    <t>201 Sioux Ln</t>
  </si>
  <si>
    <t>313 S 8th Ave</t>
  </si>
  <si>
    <t>Homeword / HA Billings</t>
  </si>
  <si>
    <t>1535 Liberty ln STE 116A</t>
  </si>
  <si>
    <t>citymayor@laurel.mt.gov</t>
  </si>
  <si>
    <t>Dave Waggoner Mayor</t>
  </si>
  <si>
    <t>City of Laurel</t>
  </si>
  <si>
    <t>115 West 1st Ave</t>
  </si>
  <si>
    <t xml:space="preserve">TBD between 7th Ave. E. and 5th Ave. E. </t>
  </si>
  <si>
    <t>Eric Huffine (Mayor)</t>
  </si>
  <si>
    <t>106 1st Street</t>
  </si>
  <si>
    <t>406-883-8205</t>
  </si>
  <si>
    <t>901 S. Third St. W.</t>
  </si>
  <si>
    <t>2550 Triple Creek Drive</t>
  </si>
  <si>
    <t>40/50/60/70/80</t>
  </si>
  <si>
    <t xml:space="preserve">staffm@ci.missoua.mt.us </t>
  </si>
  <si>
    <t>TBD Harrington Ave</t>
  </si>
  <si>
    <t>Andrea Davis Mayor</t>
  </si>
  <si>
    <t>John McGinley Mayor</t>
  </si>
  <si>
    <t>125 N. Idaho Street</t>
  </si>
  <si>
    <t xml:space="preserve">mayor@dillonmt.org </t>
  </si>
  <si>
    <t xml:space="preserve">500 Oak Park Drive </t>
  </si>
  <si>
    <t xml:space="preserve">501 Oak Park Drive </t>
  </si>
  <si>
    <t>Terry Cunningham Mayor</t>
  </si>
  <si>
    <t>tcunningham@bozeman.net</t>
  </si>
  <si>
    <t>TBD Jackson St</t>
  </si>
  <si>
    <t>Echo Development</t>
  </si>
  <si>
    <t>40/50/60/80</t>
  </si>
  <si>
    <t>300 Dorothy St</t>
  </si>
  <si>
    <t>Midtown Aspen (4%)</t>
  </si>
  <si>
    <t>Midtown Aspen 9%</t>
  </si>
  <si>
    <t>3605 Grand Ave</t>
  </si>
  <si>
    <t>Billings MT</t>
  </si>
  <si>
    <t>Kamaka Aff Housing</t>
  </si>
  <si>
    <t>Jackson Sheppard</t>
  </si>
  <si>
    <t>595 S Riverwoods PKWY STE 400</t>
  </si>
  <si>
    <t>Logan</t>
  </si>
  <si>
    <t>UT</t>
  </si>
  <si>
    <t>Jackson.sheppard@netwasatch.com</t>
  </si>
  <si>
    <t>Bd Clsing</t>
  </si>
  <si>
    <t>Bigfork Sr (orig 2006 Crestview Apts resyn)</t>
  </si>
  <si>
    <t>The Beaumont (formerly Lumberyard Apts)</t>
  </si>
  <si>
    <t>April mtg</t>
  </si>
  <si>
    <t>3010 11th Ave S</t>
  </si>
  <si>
    <t>Aspen Village Housing Partners, LP</t>
  </si>
  <si>
    <t>Gavin Taylor</t>
  </si>
  <si>
    <t>2607 2nd Ave, Suite 300</t>
  </si>
  <si>
    <t>gavin.taylor@vitus.com</t>
  </si>
  <si>
    <t>(253) 886-2906</t>
  </si>
  <si>
    <t>Cory Reeves Mayor</t>
  </si>
  <si>
    <t>(406) 455-8451</t>
  </si>
  <si>
    <t>Aspen Village 4%</t>
  </si>
  <si>
    <t>Elmore Roberts (original 1987)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</si>
</sst>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9" formatCode="[&lt;=9999999]###\-####;\(###\)\ ###\-####"/>
    <numFmt numFmtId="170" formatCode="mm/dd/yyyy"/>
    <numFmt numFmtId="172" formatCode="yyyy"/>
    <numFmt numFmtId="173" formatCode="0.00000"/>
    <numFmt numFmtId="174" formatCode="0.0000%"/>
  </numFmts>
  <fonts count="25" x14ac:knownFonts="1"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u/>
      <sz val="9"/>
      <color indexed="12"/>
      <name val="Arial"/>
      <family val="2"/>
    </font>
    <font>
      <u/>
      <sz val="7.2"/>
      <color indexed="12"/>
      <name val="Arial"/>
      <family val="2"/>
    </font>
    <font>
      <u/>
      <sz val="9"/>
      <color indexed="12"/>
      <name val="Arial"/>
      <family val="2"/>
    </font>
    <font>
      <sz val="10"/>
      <name val="MS Sans Serif"/>
      <family val="2"/>
    </font>
    <font>
      <u/>
      <sz val="7.5"/>
      <color indexed="12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rgb="FF00B050"/>
      <name val="Arial"/>
      <family val="2"/>
    </font>
    <font>
      <sz val="12"/>
      <color rgb="FF0070C0"/>
      <name val="Arial"/>
      <family val="2"/>
    </font>
    <font>
      <u/>
      <sz val="12"/>
      <color indexed="12"/>
      <name val="Arial"/>
      <family val="2"/>
    </font>
    <font>
      <u/>
      <sz val="12"/>
      <name val="Arial"/>
      <family val="2"/>
    </font>
    <font>
      <sz val="12"/>
      <color theme="4"/>
      <name val="Arial"/>
      <family val="2"/>
    </font>
    <font>
      <u/>
      <sz val="12"/>
      <color theme="4"/>
      <name val="Arial"/>
      <family val="2"/>
    </font>
    <font>
      <u/>
      <sz val="12"/>
      <color rgb="FF0070C0"/>
      <name val="Arial"/>
      <family val="2"/>
    </font>
    <font>
      <sz val="12"/>
      <name val="Calibri"/>
      <family val="2"/>
      <scheme val="minor"/>
    </font>
    <font>
      <b/>
      <u/>
      <sz val="12"/>
      <name val="Arial"/>
      <family val="2"/>
    </font>
    <font>
      <strike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5">
    <xf numFmtId="0" fontId="0" fillId="0" borderId="0"/>
    <xf numFmtId="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0" borderId="0"/>
    <xf numFmtId="0" fontId="12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2" fillId="0" borderId="0"/>
    <xf numFmtId="0" fontId="11" fillId="0" borderId="0"/>
    <xf numFmtId="0" fontId="13" fillId="0" borderId="0"/>
    <xf numFmtId="0" fontId="1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</cellStyleXfs>
  <cellXfs count="202">
    <xf numFmtId="0" fontId="0" fillId="0" borderId="0" xfId="0"/>
    <xf numFmtId="0" fontId="3" fillId="0" borderId="0" xfId="0" applyFont="1"/>
    <xf numFmtId="1" fontId="3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170" fontId="3" fillId="0" borderId="0" xfId="0" applyNumberFormat="1" applyFont="1" applyAlignment="1">
      <alignment horizontal="center" wrapText="1"/>
    </xf>
    <xf numFmtId="170" fontId="15" fillId="0" borderId="0" xfId="0" applyNumberFormat="1" applyFont="1" applyAlignment="1">
      <alignment horizontal="center"/>
    </xf>
    <xf numFmtId="170" fontId="3" fillId="0" borderId="0" xfId="0" applyNumberFormat="1" applyFont="1" applyAlignment="1">
      <alignment horizontal="center"/>
    </xf>
    <xf numFmtId="170" fontId="16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wrapText="1"/>
    </xf>
    <xf numFmtId="1" fontId="3" fillId="0" borderId="1" xfId="0" applyNumberFormat="1" applyFont="1" applyBorder="1" applyAlignment="1">
      <alignment horizontal="center" wrapText="1"/>
    </xf>
    <xf numFmtId="170" fontId="3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173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37" fontId="3" fillId="2" borderId="1" xfId="0" applyNumberFormat="1" applyFont="1" applyFill="1" applyBorder="1" applyAlignment="1">
      <alignment horizontal="center" wrapText="1"/>
    </xf>
    <xf numFmtId="7" fontId="3" fillId="0" borderId="1" xfId="0" applyNumberFormat="1" applyFont="1" applyBorder="1" applyAlignment="1">
      <alignment horizontal="center" wrapText="1"/>
    </xf>
    <xf numFmtId="7" fontId="3" fillId="2" borderId="1" xfId="0" applyNumberFormat="1" applyFont="1" applyFill="1" applyBorder="1" applyAlignment="1">
      <alignment horizontal="center" wrapText="1"/>
    </xf>
    <xf numFmtId="10" fontId="3" fillId="0" borderId="1" xfId="0" applyNumberFormat="1" applyFont="1" applyBorder="1" applyAlignment="1">
      <alignment horizontal="center" wrapText="1"/>
    </xf>
    <xf numFmtId="41" fontId="3" fillId="0" borderId="1" xfId="0" applyNumberFormat="1" applyFont="1" applyBorder="1" applyAlignment="1">
      <alignment horizontal="center" wrapText="1"/>
    </xf>
    <xf numFmtId="0" fontId="3" fillId="0" borderId="1" xfId="0" applyFont="1" applyBorder="1"/>
    <xf numFmtId="170" fontId="3" fillId="0" borderId="1" xfId="0" applyNumberFormat="1" applyFont="1" applyBorder="1" applyAlignment="1">
      <alignment horizontal="center" wrapText="1"/>
    </xf>
    <xf numFmtId="172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left"/>
    </xf>
    <xf numFmtId="173" fontId="3" fillId="0" borderId="0" xfId="0" applyNumberFormat="1" applyFont="1" applyAlignment="1">
      <alignment horizontal="left"/>
    </xf>
    <xf numFmtId="9" fontId="3" fillId="0" borderId="0" xfId="0" applyNumberFormat="1" applyFont="1" applyAlignment="1">
      <alignment horizontal="left"/>
    </xf>
    <xf numFmtId="37" fontId="3" fillId="0" borderId="0" xfId="0" applyNumberFormat="1" applyFont="1" applyAlignment="1">
      <alignment horizontal="center"/>
    </xf>
    <xf numFmtId="5" fontId="3" fillId="0" borderId="0" xfId="0" applyNumberFormat="1" applyFont="1"/>
    <xf numFmtId="164" fontId="3" fillId="0" borderId="0" xfId="0" applyNumberFormat="1" applyFont="1"/>
    <xf numFmtId="174" fontId="3" fillId="0" borderId="0" xfId="0" applyNumberFormat="1" applyFont="1"/>
    <xf numFmtId="41" fontId="3" fillId="0" borderId="0" xfId="0" applyNumberFormat="1" applyFont="1"/>
    <xf numFmtId="172" fontId="3" fillId="0" borderId="0" xfId="0" applyNumberFormat="1" applyFont="1" applyAlignment="1">
      <alignment horizontal="center"/>
    </xf>
    <xf numFmtId="0" fontId="17" fillId="0" borderId="0" xfId="5" applyFont="1" applyFill="1" applyBorder="1" applyAlignment="1" applyProtection="1"/>
    <xf numFmtId="169" fontId="3" fillId="0" borderId="0" xfId="0" applyNumberFormat="1" applyFont="1"/>
    <xf numFmtId="169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43" fontId="3" fillId="0" borderId="0" xfId="0" applyNumberFormat="1" applyFont="1"/>
    <xf numFmtId="3" fontId="3" fillId="0" borderId="0" xfId="0" applyNumberFormat="1" applyFont="1"/>
    <xf numFmtId="10" fontId="3" fillId="0" borderId="0" xfId="0" applyNumberFormat="1" applyFont="1"/>
    <xf numFmtId="0" fontId="17" fillId="0" borderId="0" xfId="5" applyFont="1" applyAlignment="1" applyProtection="1">
      <alignment horizontal="center"/>
    </xf>
    <xf numFmtId="0" fontId="17" fillId="0" borderId="0" xfId="5" applyFont="1" applyAlignment="1" applyProtection="1"/>
    <xf numFmtId="3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left" wrapText="1"/>
    </xf>
    <xf numFmtId="0" fontId="3" fillId="0" borderId="0" xfId="0" applyFont="1" applyAlignment="1" applyProtection="1">
      <alignment horizontal="center" wrapText="1"/>
      <protection locked="0"/>
    </xf>
    <xf numFmtId="41" fontId="3" fillId="0" borderId="0" xfId="0" applyNumberFormat="1" applyFont="1" applyAlignment="1" applyProtection="1">
      <alignment horizontal="center" wrapText="1"/>
      <protection locked="0"/>
    </xf>
    <xf numFmtId="0" fontId="17" fillId="0" borderId="0" xfId="5" applyFont="1" applyFill="1" applyBorder="1" applyAlignment="1" applyProtection="1">
      <alignment horizontal="center"/>
    </xf>
    <xf numFmtId="1" fontId="3" fillId="0" borderId="0" xfId="0" quotePrefix="1" applyNumberFormat="1" applyFont="1" applyAlignment="1">
      <alignment horizontal="center"/>
    </xf>
    <xf numFmtId="0" fontId="17" fillId="0" borderId="0" xfId="5" applyFont="1" applyFill="1" applyAlignment="1" applyProtection="1"/>
    <xf numFmtId="9" fontId="3" fillId="0" borderId="0" xfId="0" applyNumberFormat="1" applyFont="1" applyAlignment="1">
      <alignment horizontal="center"/>
    </xf>
    <xf numFmtId="7" fontId="3" fillId="0" borderId="0" xfId="0" applyNumberFormat="1" applyFont="1"/>
    <xf numFmtId="169" fontId="3" fillId="0" borderId="0" xfId="0" applyNumberFormat="1" applyFont="1" applyAlignment="1">
      <alignment horizontal="right"/>
    </xf>
    <xf numFmtId="9" fontId="3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right"/>
    </xf>
    <xf numFmtId="170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 applyProtection="1">
      <alignment wrapText="1"/>
      <protection locked="0"/>
    </xf>
    <xf numFmtId="0" fontId="15" fillId="0" borderId="0" xfId="0" applyFont="1"/>
    <xf numFmtId="173" fontId="15" fillId="0" borderId="0" xfId="0" applyNumberFormat="1" applyFont="1" applyAlignment="1">
      <alignment horizontal="left"/>
    </xf>
    <xf numFmtId="9" fontId="15" fillId="0" borderId="0" xfId="0" applyNumberFormat="1" applyFont="1" applyAlignment="1">
      <alignment horizontal="left" wrapText="1"/>
    </xf>
    <xf numFmtId="0" fontId="15" fillId="0" borderId="0" xfId="0" applyFont="1" applyAlignment="1" applyProtection="1">
      <alignment horizontal="center" wrapText="1"/>
      <protection locked="0"/>
    </xf>
    <xf numFmtId="41" fontId="15" fillId="0" borderId="0" xfId="0" applyNumberFormat="1" applyFont="1" applyAlignment="1" applyProtection="1">
      <alignment horizontal="center" wrapText="1"/>
      <protection locked="0"/>
    </xf>
    <xf numFmtId="37" fontId="15" fillId="0" borderId="0" xfId="0" applyNumberFormat="1" applyFont="1" applyAlignment="1">
      <alignment horizontal="center"/>
    </xf>
    <xf numFmtId="5" fontId="15" fillId="0" borderId="0" xfId="0" applyNumberFormat="1" applyFont="1"/>
    <xf numFmtId="41" fontId="15" fillId="0" borderId="0" xfId="15" applyNumberFormat="1" applyFont="1"/>
    <xf numFmtId="10" fontId="15" fillId="0" borderId="0" xfId="0" applyNumberFormat="1" applyFont="1"/>
    <xf numFmtId="41" fontId="15" fillId="0" borderId="0" xfId="0" applyNumberFormat="1" applyFont="1"/>
    <xf numFmtId="164" fontId="15" fillId="0" borderId="0" xfId="0" applyNumberFormat="1" applyFont="1"/>
    <xf numFmtId="1" fontId="15" fillId="0" borderId="0" xfId="0" applyNumberFormat="1" applyFont="1" applyAlignment="1">
      <alignment horizontal="center" wrapText="1"/>
    </xf>
    <xf numFmtId="172" fontId="15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center" wrapText="1"/>
    </xf>
    <xf numFmtId="43" fontId="15" fillId="0" borderId="0" xfId="0" applyNumberFormat="1" applyFont="1"/>
    <xf numFmtId="41" fontId="3" fillId="0" borderId="0" xfId="15" applyNumberFormat="1"/>
    <xf numFmtId="0" fontId="18" fillId="0" borderId="0" xfId="5" applyFont="1" applyFill="1" applyBorder="1" applyAlignment="1" applyProtection="1"/>
    <xf numFmtId="41" fontId="3" fillId="0" borderId="0" xfId="0" applyNumberFormat="1" applyFont="1" applyAlignment="1" applyProtection="1">
      <alignment horizontal="left" wrapText="1"/>
      <protection locked="0"/>
    </xf>
    <xf numFmtId="9" fontId="15" fillId="0" borderId="0" xfId="0" applyNumberFormat="1" applyFont="1" applyAlignment="1">
      <alignment horizontal="left"/>
    </xf>
    <xf numFmtId="3" fontId="15" fillId="0" borderId="0" xfId="0" applyNumberFormat="1" applyFont="1" applyAlignment="1">
      <alignment horizontal="center"/>
    </xf>
    <xf numFmtId="37" fontId="3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/>
    <xf numFmtId="0" fontId="16" fillId="0" borderId="0" xfId="0" applyFont="1" applyAlignment="1">
      <alignment horizontal="left"/>
    </xf>
    <xf numFmtId="0" fontId="16" fillId="0" borderId="0" xfId="0" applyFont="1" applyAlignment="1" applyProtection="1">
      <alignment wrapText="1"/>
      <protection locked="0"/>
    </xf>
    <xf numFmtId="9" fontId="16" fillId="0" borderId="0" xfId="0" applyNumberFormat="1" applyFont="1" applyAlignment="1">
      <alignment horizontal="left"/>
    </xf>
    <xf numFmtId="37" fontId="16" fillId="0" borderId="0" xfId="0" applyNumberFormat="1" applyFont="1" applyAlignment="1">
      <alignment horizontal="center"/>
    </xf>
    <xf numFmtId="5" fontId="16" fillId="0" borderId="0" xfId="0" applyNumberFormat="1" applyFont="1"/>
    <xf numFmtId="10" fontId="16" fillId="0" borderId="0" xfId="0" applyNumberFormat="1" applyFont="1"/>
    <xf numFmtId="41" fontId="16" fillId="0" borderId="0" xfId="0" applyNumberFormat="1" applyFont="1"/>
    <xf numFmtId="164" fontId="16" fillId="0" borderId="0" xfId="0" applyNumberFormat="1" applyFont="1"/>
    <xf numFmtId="3" fontId="16" fillId="0" borderId="0" xfId="0" applyNumberFormat="1" applyFont="1" applyAlignment="1">
      <alignment horizontal="center"/>
    </xf>
    <xf numFmtId="37" fontId="14" fillId="0" borderId="0" xfId="0" applyNumberFormat="1" applyFont="1" applyAlignment="1">
      <alignment horizontal="center"/>
    </xf>
    <xf numFmtId="5" fontId="14" fillId="0" borderId="0" xfId="0" applyNumberFormat="1" applyFont="1"/>
    <xf numFmtId="10" fontId="14" fillId="0" borderId="0" xfId="0" applyNumberFormat="1" applyFont="1"/>
    <xf numFmtId="41" fontId="14" fillId="0" borderId="0" xfId="0" applyNumberFormat="1" applyFont="1"/>
    <xf numFmtId="5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3" fontId="3" fillId="0" borderId="0" xfId="11" applyNumberFormat="1" applyAlignment="1">
      <alignment horizontal="center"/>
    </xf>
    <xf numFmtId="0" fontId="3" fillId="0" borderId="0" xfId="11" applyAlignment="1">
      <alignment horizontal="center"/>
    </xf>
    <xf numFmtId="173" fontId="16" fillId="0" borderId="0" xfId="0" applyNumberFormat="1" applyFont="1" applyAlignment="1">
      <alignment horizontal="left"/>
    </xf>
    <xf numFmtId="0" fontId="3" fillId="0" borderId="0" xfId="11"/>
    <xf numFmtId="0" fontId="16" fillId="0" borderId="0" xfId="11" applyFont="1" applyAlignment="1">
      <alignment horizontal="center"/>
    </xf>
    <xf numFmtId="164" fontId="16" fillId="0" borderId="0" xfId="11" applyNumberFormat="1" applyFont="1" applyAlignment="1">
      <alignment horizontal="right"/>
    </xf>
    <xf numFmtId="10" fontId="16" fillId="0" borderId="0" xfId="11" applyNumberFormat="1" applyFont="1" applyAlignment="1">
      <alignment horizontal="right"/>
    </xf>
    <xf numFmtId="41" fontId="16" fillId="0" borderId="0" xfId="11" applyNumberFormat="1" applyFont="1" applyAlignment="1">
      <alignment horizontal="right"/>
    </xf>
    <xf numFmtId="0" fontId="16" fillId="0" borderId="0" xfId="11" applyFont="1"/>
    <xf numFmtId="3" fontId="16" fillId="0" borderId="0" xfId="11" applyNumberFormat="1" applyFont="1" applyAlignment="1">
      <alignment horizontal="center"/>
    </xf>
    <xf numFmtId="0" fontId="3" fillId="0" borderId="0" xfId="11" applyAlignment="1">
      <alignment wrapText="1"/>
    </xf>
    <xf numFmtId="14" fontId="3" fillId="0" borderId="0" xfId="0" applyNumberFormat="1" applyFont="1" applyAlignment="1">
      <alignment horizontal="center"/>
    </xf>
    <xf numFmtId="170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left"/>
    </xf>
    <xf numFmtId="173" fontId="19" fillId="0" borderId="0" xfId="0" applyNumberFormat="1" applyFont="1" applyAlignment="1">
      <alignment horizontal="left"/>
    </xf>
    <xf numFmtId="9" fontId="19" fillId="0" borderId="0" xfId="0" applyNumberFormat="1" applyFont="1" applyAlignment="1">
      <alignment horizontal="left"/>
    </xf>
    <xf numFmtId="37" fontId="19" fillId="0" borderId="0" xfId="0" applyNumberFormat="1" applyFont="1" applyAlignment="1">
      <alignment horizontal="center"/>
    </xf>
    <xf numFmtId="5" fontId="19" fillId="0" borderId="0" xfId="0" applyNumberFormat="1" applyFont="1"/>
    <xf numFmtId="10" fontId="19" fillId="0" borderId="0" xfId="0" applyNumberFormat="1" applyFont="1"/>
    <xf numFmtId="41" fontId="19" fillId="0" borderId="0" xfId="0" applyNumberFormat="1" applyFont="1"/>
    <xf numFmtId="164" fontId="19" fillId="0" borderId="0" xfId="0" applyNumberFormat="1" applyFont="1"/>
    <xf numFmtId="172" fontId="19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20" fillId="0" borderId="0" xfId="5" applyFont="1" applyFill="1" applyBorder="1" applyAlignment="1" applyProtection="1"/>
    <xf numFmtId="3" fontId="19" fillId="0" borderId="0" xfId="0" applyNumberFormat="1" applyFont="1" applyAlignment="1">
      <alignment horizontal="center"/>
    </xf>
    <xf numFmtId="3" fontId="19" fillId="0" borderId="0" xfId="0" applyNumberFormat="1" applyFont="1"/>
    <xf numFmtId="172" fontId="16" fillId="0" borderId="0" xfId="0" applyNumberFormat="1" applyFont="1" applyAlignment="1">
      <alignment horizontal="center"/>
    </xf>
    <xf numFmtId="0" fontId="21" fillId="0" borderId="0" xfId="5" applyFont="1" applyFill="1" applyBorder="1" applyAlignment="1" applyProtection="1"/>
    <xf numFmtId="42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41" fontId="4" fillId="0" borderId="0" xfId="0" applyNumberFormat="1" applyFont="1" applyAlignment="1">
      <alignment horizontal="center"/>
    </xf>
    <xf numFmtId="42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41" fontId="3" fillId="0" borderId="0" xfId="0" applyNumberFormat="1" applyFont="1" applyAlignment="1">
      <alignment horizontal="center"/>
    </xf>
    <xf numFmtId="42" fontId="16" fillId="0" borderId="0" xfId="0" applyNumberFormat="1" applyFont="1" applyAlignment="1">
      <alignment horizontal="center"/>
    </xf>
    <xf numFmtId="10" fontId="16" fillId="0" borderId="0" xfId="0" applyNumberFormat="1" applyFont="1" applyAlignment="1">
      <alignment horizontal="center"/>
    </xf>
    <xf numFmtId="41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16" fillId="0" borderId="0" xfId="0" quotePrefix="1" applyFont="1" applyAlignment="1">
      <alignment horizontal="center"/>
    </xf>
    <xf numFmtId="49" fontId="3" fillId="0" borderId="0" xfId="0" applyNumberFormat="1" applyFont="1" applyAlignment="1">
      <alignment horizontal="center"/>
    </xf>
    <xf numFmtId="17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3" fontId="3" fillId="3" borderId="0" xfId="0" applyNumberFormat="1" applyFont="1" applyFill="1"/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right"/>
    </xf>
    <xf numFmtId="3" fontId="22" fillId="0" borderId="0" xfId="0" applyNumberFormat="1" applyFont="1" applyAlignment="1">
      <alignment horizontal="right"/>
    </xf>
    <xf numFmtId="164" fontId="23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left"/>
    </xf>
    <xf numFmtId="41" fontId="3" fillId="0" borderId="0" xfId="0" applyNumberFormat="1" applyFont="1" applyAlignment="1">
      <alignment horizontal="left"/>
    </xf>
    <xf numFmtId="169" fontId="3" fillId="0" borderId="0" xfId="0" applyNumberFormat="1" applyFont="1" applyAlignment="1" applyProtection="1">
      <alignment horizontal="right" wrapText="1"/>
      <protection locked="0"/>
    </xf>
    <xf numFmtId="7" fontId="3" fillId="0" borderId="0" xfId="0" applyNumberFormat="1" applyFont="1" applyAlignment="1">
      <alignment horizontal="center" wrapText="1"/>
    </xf>
    <xf numFmtId="10" fontId="3" fillId="0" borderId="0" xfId="0" applyNumberFormat="1" applyFont="1" applyAlignment="1">
      <alignment horizontal="center" wrapText="1"/>
    </xf>
    <xf numFmtId="41" fontId="3" fillId="0" borderId="0" xfId="0" applyNumberFormat="1" applyFont="1" applyAlignment="1">
      <alignment horizontal="center" wrapText="1"/>
    </xf>
    <xf numFmtId="172" fontId="3" fillId="0" borderId="0" xfId="0" applyNumberFormat="1" applyFont="1" applyAlignment="1">
      <alignment horizontal="center" wrapText="1"/>
    </xf>
    <xf numFmtId="3" fontId="3" fillId="0" borderId="0" xfId="0" applyNumberFormat="1" applyFont="1" applyAlignment="1" applyProtection="1">
      <alignment horizontal="center" wrapText="1"/>
      <protection locked="0"/>
    </xf>
    <xf numFmtId="169" fontId="3" fillId="0" borderId="0" xfId="0" applyNumberFormat="1" applyFont="1" applyAlignment="1" applyProtection="1">
      <alignment horizontal="center" wrapText="1"/>
      <protection locked="0"/>
    </xf>
    <xf numFmtId="0" fontId="3" fillId="4" borderId="0" xfId="0" applyFont="1" applyFill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24" fillId="0" borderId="2" xfId="0" applyFont="1" applyBorder="1" applyAlignment="1" applyProtection="1">
      <alignment wrapText="1"/>
      <protection locked="0"/>
    </xf>
    <xf numFmtId="0" fontId="5" fillId="0" borderId="0" xfId="5" applyAlignment="1" applyProtection="1">
      <alignment horizontal="center"/>
    </xf>
    <xf numFmtId="170" fontId="3" fillId="0" borderId="0" xfId="0" quotePrefix="1" applyNumberFormat="1" applyFont="1" applyAlignment="1">
      <alignment horizontal="center"/>
    </xf>
    <xf numFmtId="0" fontId="5" fillId="0" borderId="0" xfId="5" applyFill="1" applyBorder="1" applyAlignment="1" applyProtection="1"/>
    <xf numFmtId="170" fontId="3" fillId="2" borderId="0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left"/>
    </xf>
    <xf numFmtId="173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37" fontId="3" fillId="2" borderId="0" xfId="0" applyNumberFormat="1" applyFont="1" applyFill="1" applyBorder="1" applyAlignment="1">
      <alignment horizontal="center" wrapText="1"/>
    </xf>
    <xf numFmtId="7" fontId="3" fillId="0" borderId="0" xfId="0" applyNumberFormat="1" applyFont="1" applyBorder="1" applyAlignment="1">
      <alignment horizontal="center" wrapText="1"/>
    </xf>
    <xf numFmtId="7" fontId="3" fillId="2" borderId="0" xfId="0" applyNumberFormat="1" applyFont="1" applyFill="1" applyBorder="1" applyAlignment="1">
      <alignment horizontal="center" wrapText="1"/>
    </xf>
    <xf numFmtId="10" fontId="3" fillId="0" borderId="0" xfId="0" applyNumberFormat="1" applyFont="1" applyBorder="1" applyAlignment="1">
      <alignment horizontal="center" wrapText="1"/>
    </xf>
    <xf numFmtId="41" fontId="3" fillId="0" borderId="0" xfId="0" applyNumberFormat="1" applyFont="1" applyBorder="1" applyAlignment="1">
      <alignment horizontal="center" wrapText="1"/>
    </xf>
    <xf numFmtId="170" fontId="3" fillId="0" borderId="0" xfId="0" applyNumberFormat="1" applyFont="1" applyBorder="1" applyAlignment="1">
      <alignment horizontal="center" wrapText="1"/>
    </xf>
    <xf numFmtId="172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 wrapText="1"/>
    </xf>
    <xf numFmtId="0" fontId="3" fillId="0" borderId="0" xfId="0" applyFont="1" applyBorder="1"/>
    <xf numFmtId="3" fontId="3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9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wrapText="1"/>
    </xf>
  </cellXfs>
  <cellStyles count="25">
    <cellStyle name="Comma0" xfId="1" xr:uid="{00000000-0005-0000-0000-000000000000}"/>
    <cellStyle name="Currency 2" xfId="2" xr:uid="{00000000-0005-0000-0000-000001000000}"/>
    <cellStyle name="Currency 3" xfId="3" xr:uid="{00000000-0005-0000-0000-000002000000}"/>
    <cellStyle name="Currency0" xfId="4" xr:uid="{00000000-0005-0000-0000-000003000000}"/>
    <cellStyle name="Hyperlink" xfId="5" builtinId="8"/>
    <cellStyle name="Hyperlink 2" xfId="6" xr:uid="{00000000-0005-0000-0000-000005000000}"/>
    <cellStyle name="Hyperlink 3" xfId="7" xr:uid="{00000000-0005-0000-0000-000006000000}"/>
    <cellStyle name="Hyperlink 4" xfId="8" xr:uid="{00000000-0005-0000-0000-000007000000}"/>
    <cellStyle name="Hyperlink 4 2" xfId="9" xr:uid="{00000000-0005-0000-0000-000008000000}"/>
    <cellStyle name="Hyperlink 5" xfId="10" xr:uid="{00000000-0005-0000-0000-000009000000}"/>
    <cellStyle name="Normal" xfId="0" builtinId="0"/>
    <cellStyle name="Normal 2" xfId="11" xr:uid="{00000000-0005-0000-0000-00000B000000}"/>
    <cellStyle name="Normal 2 2" xfId="12" xr:uid="{00000000-0005-0000-0000-00000C000000}"/>
    <cellStyle name="Normal 2 3" xfId="13" xr:uid="{00000000-0005-0000-0000-00000D000000}"/>
    <cellStyle name="Normal 2 3 2" xfId="14" xr:uid="{00000000-0005-0000-0000-00000E000000}"/>
    <cellStyle name="Normal 3" xfId="15" xr:uid="{00000000-0005-0000-0000-00000F000000}"/>
    <cellStyle name="Normal 3 2" xfId="16" xr:uid="{00000000-0005-0000-0000-000010000000}"/>
    <cellStyle name="Normal 3 2 3" xfId="24" xr:uid="{CFE215FA-4C8A-4DEF-BB27-2A618B0C6F97}"/>
    <cellStyle name="Normal 4" xfId="17" xr:uid="{00000000-0005-0000-0000-000011000000}"/>
    <cellStyle name="Normal 4 2" xfId="18" xr:uid="{00000000-0005-0000-0000-000012000000}"/>
    <cellStyle name="Normal 5" xfId="19" xr:uid="{00000000-0005-0000-0000-000013000000}"/>
    <cellStyle name="Normal 5 2" xfId="20" xr:uid="{00000000-0005-0000-0000-000014000000}"/>
    <cellStyle name="Normal 6" xfId="21" xr:uid="{00000000-0005-0000-0000-000015000000}"/>
    <cellStyle name="Normal 7" xfId="23" xr:uid="{1AFB9ED0-9E84-4382-A32D-69C68A0E4DCD}"/>
    <cellStyle name="Percent 2" xfId="22" xr:uid="{00000000-0005-0000-0000-00001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heather@homeword.org" TargetMode="External"/><Relationship Id="rId21" Type="http://schemas.openxmlformats.org/officeDocument/2006/relationships/hyperlink" Target="mailto:alex@housing-solutions.org" TargetMode="External"/><Relationship Id="rId42" Type="http://schemas.openxmlformats.org/officeDocument/2006/relationships/hyperlink" Target="mailto:paul@summithousinggroup.com" TargetMode="External"/><Relationship Id="rId47" Type="http://schemas.openxmlformats.org/officeDocument/2006/relationships/hyperlink" Target="mailto:tfluetsch@d-h-i.net" TargetMode="External"/><Relationship Id="rId63" Type="http://schemas.openxmlformats.org/officeDocument/2006/relationships/hyperlink" Target="mailto:libbylocal@yahoo.com" TargetMode="External"/><Relationship Id="rId68" Type="http://schemas.openxmlformats.org/officeDocument/2006/relationships/hyperlink" Target="mailto:coleb@billingsmt.gov" TargetMode="External"/><Relationship Id="rId84" Type="http://schemas.openxmlformats.org/officeDocument/2006/relationships/hyperlink" Target="mailto:tyson@uhousingpartners.com" TargetMode="External"/><Relationship Id="rId89" Type="http://schemas.openxmlformats.org/officeDocument/2006/relationships/hyperlink" Target="mailto:dfarrenkopf@cityofhamilton.net" TargetMode="External"/><Relationship Id="rId112" Type="http://schemas.openxmlformats.org/officeDocument/2006/relationships/hyperlink" Target="mailto:coleb@billingsmt.gov" TargetMode="External"/><Relationship Id="rId16" Type="http://schemas.openxmlformats.org/officeDocument/2006/relationships/hyperlink" Target="mailto:dtrost@sjlm.org" TargetMode="External"/><Relationship Id="rId107" Type="http://schemas.openxmlformats.org/officeDocument/2006/relationships/hyperlink" Target="mailto:staffm@ci.missoua.mt.us" TargetMode="External"/><Relationship Id="rId11" Type="http://schemas.openxmlformats.org/officeDocument/2006/relationships/hyperlink" Target="mailto:alex@housing-solutions.org" TargetMode="External"/><Relationship Id="rId32" Type="http://schemas.openxmlformats.org/officeDocument/2006/relationships/hyperlink" Target="mailto:rstordahl@buttehousing.org" TargetMode="External"/><Relationship Id="rId37" Type="http://schemas.openxmlformats.org/officeDocument/2006/relationships/hyperlink" Target="mailto:beki@montana.com" TargetMode="External"/><Relationship Id="rId53" Type="http://schemas.openxmlformats.org/officeDocument/2006/relationships/hyperlink" Target="mailto:gmf@acshf.com" TargetMode="External"/><Relationship Id="rId58" Type="http://schemas.openxmlformats.org/officeDocument/2006/relationships/hyperlink" Target="mailto:crosby@boundarydev.com" TargetMode="External"/><Relationship Id="rId74" Type="http://schemas.openxmlformats.org/officeDocument/2006/relationships/hyperlink" Target="mailto:tyson@uhousingpartners.com" TargetMode="External"/><Relationship Id="rId79" Type="http://schemas.openxmlformats.org/officeDocument/2006/relationships/hyperlink" Target="mailto:rkucich@cpp-housing.com" TargetMode="External"/><Relationship Id="rId102" Type="http://schemas.openxmlformats.org/officeDocument/2006/relationships/hyperlink" Target="mailto:tyson@uhousingpartners.com" TargetMode="External"/><Relationship Id="rId5" Type="http://schemas.openxmlformats.org/officeDocument/2006/relationships/hyperlink" Target="mailto:jpm@hrcxi.org" TargetMode="External"/><Relationship Id="rId90" Type="http://schemas.openxmlformats.org/officeDocument/2006/relationships/hyperlink" Target="mailto:pkeenan@reuterwalton.com" TargetMode="External"/><Relationship Id="rId95" Type="http://schemas.openxmlformats.org/officeDocument/2006/relationships/hyperlink" Target="mailto:chase.huber@devcowa.com" TargetMode="External"/><Relationship Id="rId22" Type="http://schemas.openxmlformats.org/officeDocument/2006/relationships/hyperlink" Target="mailto:kirk@a-developers.com" TargetMode="External"/><Relationship Id="rId27" Type="http://schemas.openxmlformats.org/officeDocument/2006/relationships/hyperlink" Target="mailto:jeff@hampstead.com" TargetMode="External"/><Relationship Id="rId43" Type="http://schemas.openxmlformats.org/officeDocument/2006/relationships/hyperlink" Target="mailto:gleuwer1139@msn.com" TargetMode="External"/><Relationship Id="rId48" Type="http://schemas.openxmlformats.org/officeDocument/2006/relationships/hyperlink" Target="mailto:steve@gmddevelopment.com" TargetMode="External"/><Relationship Id="rId64" Type="http://schemas.openxmlformats.org/officeDocument/2006/relationships/hyperlink" Target="mailto:wcollins@helenamt.gov" TargetMode="External"/><Relationship Id="rId69" Type="http://schemas.openxmlformats.org/officeDocument/2006/relationships/hyperlink" Target="mailto:kbuckland@cpp-housing.com" TargetMode="External"/><Relationship Id="rId113" Type="http://schemas.openxmlformats.org/officeDocument/2006/relationships/hyperlink" Target="mailto:coleb@billingsmt.gov" TargetMode="External"/><Relationship Id="rId80" Type="http://schemas.openxmlformats.org/officeDocument/2006/relationships/hyperlink" Target="mailto:commission@greatfallsmt.net" TargetMode="External"/><Relationship Id="rId85" Type="http://schemas.openxmlformats.org/officeDocument/2006/relationships/hyperlink" Target="mailto:wcollins@helena.gov" TargetMode="External"/><Relationship Id="rId12" Type="http://schemas.openxmlformats.org/officeDocument/2006/relationships/hyperlink" Target="mailto:alex@housing-solutions.org" TargetMode="External"/><Relationship Id="rId17" Type="http://schemas.openxmlformats.org/officeDocument/2006/relationships/hyperlink" Target="mailto:ceo@ywcabillings.org" TargetMode="External"/><Relationship Id="rId33" Type="http://schemas.openxmlformats.org/officeDocument/2006/relationships/hyperlink" Target="mailto:lmogstad@rmdc.net" TargetMode="External"/><Relationship Id="rId38" Type="http://schemas.openxmlformats.org/officeDocument/2006/relationships/hyperlink" Target="mailto:joe@boundarydev.com" TargetMode="External"/><Relationship Id="rId59" Type="http://schemas.openxmlformats.org/officeDocument/2006/relationships/hyperlink" Target="mailto:m.smith@a-resource.com" TargetMode="External"/><Relationship Id="rId103" Type="http://schemas.openxmlformats.org/officeDocument/2006/relationships/hyperlink" Target="mailto:alex@housing-solutions.org" TargetMode="External"/><Relationship Id="rId108" Type="http://schemas.openxmlformats.org/officeDocument/2006/relationships/hyperlink" Target="mailto:mayor@dillonmt.org" TargetMode="External"/><Relationship Id="rId54" Type="http://schemas.openxmlformats.org/officeDocument/2006/relationships/hyperlink" Target="mailto:gmf@acshf.com" TargetMode="External"/><Relationship Id="rId70" Type="http://schemas.openxmlformats.org/officeDocument/2006/relationships/hyperlink" Target="mailto:commision@greatfallmt.net" TargetMode="External"/><Relationship Id="rId75" Type="http://schemas.openxmlformats.org/officeDocument/2006/relationships/hyperlink" Target="mailto:austinr@summithousinggroup.com" TargetMode="External"/><Relationship Id="rId91" Type="http://schemas.openxmlformats.org/officeDocument/2006/relationships/hyperlink" Target="mailto:chase.huber@devcowa.com" TargetMode="External"/><Relationship Id="rId96" Type="http://schemas.openxmlformats.org/officeDocument/2006/relationships/hyperlink" Target="mailto:kbuckland@cpp-housing.com" TargetMode="External"/><Relationship Id="rId1" Type="http://schemas.openxmlformats.org/officeDocument/2006/relationships/hyperlink" Target="mailto:beki@montana.com" TargetMode="External"/><Relationship Id="rId6" Type="http://schemas.openxmlformats.org/officeDocument/2006/relationships/hyperlink" Target="mailto:taylorh@syringaproperties.com" TargetMode="External"/><Relationship Id="rId15" Type="http://schemas.openxmlformats.org/officeDocument/2006/relationships/hyperlink" Target="mailto:blake@ihfa.org" TargetMode="External"/><Relationship Id="rId23" Type="http://schemas.openxmlformats.org/officeDocument/2006/relationships/hyperlink" Target="mailto:heather@homeword.org" TargetMode="External"/><Relationship Id="rId28" Type="http://schemas.openxmlformats.org/officeDocument/2006/relationships/hyperlink" Target="mailto:mattl@billingslf.org" TargetMode="External"/><Relationship Id="rId36" Type="http://schemas.openxmlformats.org/officeDocument/2006/relationships/hyperlink" Target="mailto:Paul@Summithousinggroup.com" TargetMode="External"/><Relationship Id="rId49" Type="http://schemas.openxmlformats.org/officeDocument/2006/relationships/hyperlink" Target="mailto:heather@homeword.org" TargetMode="External"/><Relationship Id="rId57" Type="http://schemas.openxmlformats.org/officeDocument/2006/relationships/hyperlink" Target="mailto:beki@montana.com" TargetMode="External"/><Relationship Id="rId106" Type="http://schemas.openxmlformats.org/officeDocument/2006/relationships/hyperlink" Target="mailto:mayor@cityofpolson.com" TargetMode="External"/><Relationship Id="rId114" Type="http://schemas.openxmlformats.org/officeDocument/2006/relationships/hyperlink" Target="mailto:gavin.taylor@vitus.com" TargetMode="External"/><Relationship Id="rId10" Type="http://schemas.openxmlformats.org/officeDocument/2006/relationships/hyperlink" Target="mailto:Rusty@SummitHousingGroup.com" TargetMode="External"/><Relationship Id="rId31" Type="http://schemas.openxmlformats.org/officeDocument/2006/relationships/hyperlink" Target="mailto:rstordahl@buttehousing.org" TargetMode="External"/><Relationship Id="rId44" Type="http://schemas.openxmlformats.org/officeDocument/2006/relationships/hyperlink" Target="mailto:steve@gmddevelopment.com" TargetMode="External"/><Relationship Id="rId52" Type="http://schemas.openxmlformats.org/officeDocument/2006/relationships/hyperlink" Target="mailto:chase.huber@devcowa.com" TargetMode="External"/><Relationship Id="rId60" Type="http://schemas.openxmlformats.org/officeDocument/2006/relationships/hyperlink" Target="mailto:alex@housing-solutions.org" TargetMode="External"/><Relationship Id="rId65" Type="http://schemas.openxmlformats.org/officeDocument/2006/relationships/hyperlink" Target="mailto:jpgallagher@bsb.mt.gov" TargetMode="External"/><Relationship Id="rId73" Type="http://schemas.openxmlformats.org/officeDocument/2006/relationships/hyperlink" Target="mailto:jcronk@ilcorp.org" TargetMode="External"/><Relationship Id="rId78" Type="http://schemas.openxmlformats.org/officeDocument/2006/relationships/hyperlink" Target="mailto:chase.huber@devcowa.com" TargetMode="External"/><Relationship Id="rId81" Type="http://schemas.openxmlformats.org/officeDocument/2006/relationships/hyperlink" Target="mailto:jgallagher@bsb.mt.gov" TargetMode="External"/><Relationship Id="rId86" Type="http://schemas.openxmlformats.org/officeDocument/2006/relationships/hyperlink" Target="mailto:coleb@billingsmt.gov" TargetMode="External"/><Relationship Id="rId94" Type="http://schemas.openxmlformats.org/officeDocument/2006/relationships/hyperlink" Target="mailto:pam.holmquist@flathead.mt.gov" TargetMode="External"/><Relationship Id="rId99" Type="http://schemas.openxmlformats.org/officeDocument/2006/relationships/hyperlink" Target="https://www.bing.com/search?q=gateway+vista+billings+mt&amp;qs=UT&amp;pq=gateway+vista+bill&amp;sc=8-18&amp;cvid=4C8D71BACF1E4FD08FDD8C9BA32FB996&amp;FORM=QBRE&amp;sp=1&amp;ghc=1&amp;lq=0" TargetMode="External"/><Relationship Id="rId101" Type="http://schemas.openxmlformats.org/officeDocument/2006/relationships/hyperlink" Target="mailto:austinr@summithousinggroup.com" TargetMode="External"/><Relationship Id="rId4" Type="http://schemas.openxmlformats.org/officeDocument/2006/relationships/hyperlink" Target="mailto:kirk@a-developers.com" TargetMode="External"/><Relationship Id="rId9" Type="http://schemas.openxmlformats.org/officeDocument/2006/relationships/hyperlink" Target="mailto:nfortier@nwgf.org" TargetMode="External"/><Relationship Id="rId13" Type="http://schemas.openxmlformats.org/officeDocument/2006/relationships/hyperlink" Target="mailto:chancy@blackfeethousing.org" TargetMode="External"/><Relationship Id="rId18" Type="http://schemas.openxmlformats.org/officeDocument/2006/relationships/hyperlink" Target="mailto:jgervais@blackfeethousing.org" TargetMode="External"/><Relationship Id="rId39" Type="http://schemas.openxmlformats.org/officeDocument/2006/relationships/hyperlink" Target="mailto:ldavidson@missoulahousing.org" TargetMode="External"/><Relationship Id="rId109" Type="http://schemas.openxmlformats.org/officeDocument/2006/relationships/hyperlink" Target="mailto:tcunningham@bozeman.net" TargetMode="External"/><Relationship Id="rId34" Type="http://schemas.openxmlformats.org/officeDocument/2006/relationships/hyperlink" Target="mailto:ryan@rchjoneshousing.com" TargetMode="External"/><Relationship Id="rId50" Type="http://schemas.openxmlformats.org/officeDocument/2006/relationships/hyperlink" Target="mailto:jason@bluelinedevelopment.com" TargetMode="External"/><Relationship Id="rId55" Type="http://schemas.openxmlformats.org/officeDocument/2006/relationships/hyperlink" Target="mailto:alex@housing-solutions.org" TargetMode="External"/><Relationship Id="rId76" Type="http://schemas.openxmlformats.org/officeDocument/2006/relationships/hyperlink" Target="mailto:charden@stjohnsunited.org" TargetMode="External"/><Relationship Id="rId97" Type="http://schemas.openxmlformats.org/officeDocument/2006/relationships/hyperlink" Target="mailto:commision@greatfallmt.net" TargetMode="External"/><Relationship Id="rId104" Type="http://schemas.openxmlformats.org/officeDocument/2006/relationships/hyperlink" Target="mailto:coleb@billingsmt.gov" TargetMode="External"/><Relationship Id="rId7" Type="http://schemas.openxmlformats.org/officeDocument/2006/relationships/hyperlink" Target="mailto:heather@homeword.org" TargetMode="External"/><Relationship Id="rId71" Type="http://schemas.openxmlformats.org/officeDocument/2006/relationships/hyperlink" Target="mailto:joe@boundarydev.com" TargetMode="External"/><Relationship Id="rId92" Type="http://schemas.openxmlformats.org/officeDocument/2006/relationships/hyperlink" Target="mailto:commission@greatfallsmt.net" TargetMode="External"/><Relationship Id="rId2" Type="http://schemas.openxmlformats.org/officeDocument/2006/relationships/hyperlink" Target="mailto:kirk@a-developers.com" TargetMode="External"/><Relationship Id="rId29" Type="http://schemas.openxmlformats.org/officeDocument/2006/relationships/hyperlink" Target="mailto:alex@housing-solutions.org" TargetMode="External"/><Relationship Id="rId24" Type="http://schemas.openxmlformats.org/officeDocument/2006/relationships/hyperlink" Target="mailto:alex@housing-solutions.org" TargetMode="External"/><Relationship Id="rId40" Type="http://schemas.openxmlformats.org/officeDocument/2006/relationships/hyperlink" Target="mailto:nate@bluelinedevelopment.com" TargetMode="External"/><Relationship Id="rId45" Type="http://schemas.openxmlformats.org/officeDocument/2006/relationships/hyperlink" Target="mailto:gmf@acshf.com" TargetMode="External"/><Relationship Id="rId66" Type="http://schemas.openxmlformats.org/officeDocument/2006/relationships/hyperlink" Target="mailto:chase.huber@devcowa.com" TargetMode="External"/><Relationship Id="rId87" Type="http://schemas.openxmlformats.org/officeDocument/2006/relationships/hyperlink" Target="mailto:mayor@cityofpolson.com" TargetMode="External"/><Relationship Id="rId110" Type="http://schemas.openxmlformats.org/officeDocument/2006/relationships/hyperlink" Target="mailto:tyson@uhousingpartners.com" TargetMode="External"/><Relationship Id="rId115" Type="http://schemas.openxmlformats.org/officeDocument/2006/relationships/printerSettings" Target="../printerSettings/printerSettings1.bin"/><Relationship Id="rId61" Type="http://schemas.openxmlformats.org/officeDocument/2006/relationships/hyperlink" Target="mailto:bkelly@greatfallsmt.net" TargetMode="External"/><Relationship Id="rId82" Type="http://schemas.openxmlformats.org/officeDocument/2006/relationships/hyperlink" Target="mailto:joe@boundarydev.com" TargetMode="External"/><Relationship Id="rId19" Type="http://schemas.openxmlformats.org/officeDocument/2006/relationships/hyperlink" Target="mailto:gmf@acshf.com" TargetMode="External"/><Relationship Id="rId14" Type="http://schemas.openxmlformats.org/officeDocument/2006/relationships/hyperlink" Target="mailto:lmogstad@rmdc.net" TargetMode="External"/><Relationship Id="rId30" Type="http://schemas.openxmlformats.org/officeDocument/2006/relationships/hyperlink" Target="mailto:beki@blackfoot.net" TargetMode="External"/><Relationship Id="rId35" Type="http://schemas.openxmlformats.org/officeDocument/2006/relationships/hyperlink" Target="mailto:alex@housing-solutions.org" TargetMode="External"/><Relationship Id="rId56" Type="http://schemas.openxmlformats.org/officeDocument/2006/relationships/hyperlink" Target="mailto:steve@gmddevelopment.com" TargetMode="External"/><Relationship Id="rId77" Type="http://schemas.openxmlformats.org/officeDocument/2006/relationships/hyperlink" Target="mailto:samantha.cullen@vitus.com" TargetMode="External"/><Relationship Id="rId100" Type="http://schemas.openxmlformats.org/officeDocument/2006/relationships/hyperlink" Target="https://www.bing.com/search?q=1525+North+14th+Ave+&amp;qs=n&amp;form=QBRE&amp;sp=-1&amp;lq=0&amp;pq=&amp;sc=17-0&amp;sk=&amp;cvid=62A91BECD34744518A60A73E4A8B8947&amp;ghsh=0&amp;ghacc=0&amp;ghpl=" TargetMode="External"/><Relationship Id="rId105" Type="http://schemas.openxmlformats.org/officeDocument/2006/relationships/hyperlink" Target="mailto:citymayor@laurel.mt.gov" TargetMode="External"/><Relationship Id="rId8" Type="http://schemas.openxmlformats.org/officeDocument/2006/relationships/hyperlink" Target="mailto:mike@boucheedevelopment.com" TargetMode="External"/><Relationship Id="rId51" Type="http://schemas.openxmlformats.org/officeDocument/2006/relationships/hyperlink" Target="mailto:michael.volz@devcowa.com" TargetMode="External"/><Relationship Id="rId72" Type="http://schemas.openxmlformats.org/officeDocument/2006/relationships/hyperlink" Target="mailto:alex@housing-solutions.org" TargetMode="External"/><Relationship Id="rId93" Type="http://schemas.openxmlformats.org/officeDocument/2006/relationships/hyperlink" Target="mailto:gmf@acshf.com" TargetMode="External"/><Relationship Id="rId98" Type="http://schemas.openxmlformats.org/officeDocument/2006/relationships/hyperlink" Target="https://www.bing.com/search?q=gateway+vista+billings+mt&amp;qs=UT&amp;pq=gateway+vista+bill&amp;sc=8-18&amp;cvid=4C8D71BACF1E4FD08FDD8C9BA32FB996&amp;FORM=QBRE&amp;sp=1&amp;ghc=1&amp;lq=0" TargetMode="External"/><Relationship Id="rId3" Type="http://schemas.openxmlformats.org/officeDocument/2006/relationships/hyperlink" Target="mailto:kirk@a-developers.com" TargetMode="External"/><Relationship Id="rId25" Type="http://schemas.openxmlformats.org/officeDocument/2006/relationships/hyperlink" Target="mailto:steve@gmddevelopment.com" TargetMode="External"/><Relationship Id="rId46" Type="http://schemas.openxmlformats.org/officeDocument/2006/relationships/hyperlink" Target="mailto:gmf@acshf.com" TargetMode="External"/><Relationship Id="rId67" Type="http://schemas.openxmlformats.org/officeDocument/2006/relationships/hyperlink" Target="mailto:bmoloney@lincolnavecap.com" TargetMode="External"/><Relationship Id="rId20" Type="http://schemas.openxmlformats.org/officeDocument/2006/relationships/hyperlink" Target="mailto:steve@gmddevelopment.com" TargetMode="External"/><Relationship Id="rId41" Type="http://schemas.openxmlformats.org/officeDocument/2006/relationships/hyperlink" Target="mailto:paul@summithousinggroup.com" TargetMode="External"/><Relationship Id="rId62" Type="http://schemas.openxmlformats.org/officeDocument/2006/relationships/hyperlink" Target="mailto:whiteclay.frank@gmail.com" TargetMode="External"/><Relationship Id="rId83" Type="http://schemas.openxmlformats.org/officeDocument/2006/relationships/hyperlink" Target="mailto:wcollins@helena.gov" TargetMode="External"/><Relationship Id="rId88" Type="http://schemas.openxmlformats.org/officeDocument/2006/relationships/hyperlink" Target="mailto:alex@housing-solutions.org" TargetMode="External"/><Relationship Id="rId111" Type="http://schemas.openxmlformats.org/officeDocument/2006/relationships/hyperlink" Target="mailto:tcunningham@bozeman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BT591"/>
  <sheetViews>
    <sheetView tabSelected="1" defaultGridColor="0" colorId="22" zoomScaleNormal="100" zoomScaleSheetLayoutView="75" workbookViewId="0">
      <pane xSplit="4" ySplit="1" topLeftCell="E2" activePane="bottomRight" state="frozen"/>
      <selection pane="topRight" activeCell="I1" sqref="I1"/>
      <selection pane="bottomLeft" activeCell="A2" sqref="A2"/>
      <selection pane="bottomRight" activeCell="B10" sqref="B10"/>
    </sheetView>
  </sheetViews>
  <sheetFormatPr defaultColWidth="8.90625" defaultRowHeight="15" x14ac:dyDescent="0.25"/>
  <cols>
    <col min="1" max="1" width="11" style="8" customWidth="1"/>
    <col min="2" max="2" width="10.36328125" style="36" bestFit="1" customWidth="1"/>
    <col min="3" max="3" width="12" style="36" bestFit="1" customWidth="1"/>
    <col min="4" max="4" width="36" style="1" customWidth="1"/>
    <col min="5" max="5" width="35.54296875" style="1" customWidth="1"/>
    <col min="6" max="6" width="26.453125" style="1" customWidth="1"/>
    <col min="7" max="7" width="8" style="38" customWidth="1"/>
    <col min="8" max="8" width="11" style="39" customWidth="1"/>
    <col min="9" max="9" width="12.1796875" style="39" customWidth="1"/>
    <col min="10" max="10" width="18.54296875" style="1" customWidth="1"/>
    <col min="11" max="11" width="7.453125" style="38" customWidth="1"/>
    <col min="12" max="12" width="11.1796875" style="36" customWidth="1"/>
    <col min="13" max="13" width="13.453125" style="1" customWidth="1"/>
    <col min="14" max="14" width="10.08984375" style="36" customWidth="1"/>
    <col min="15" max="15" width="8.08984375" style="41" customWidth="1"/>
    <col min="16" max="16" width="8.90625" style="36" customWidth="1"/>
    <col min="17" max="18" width="15.1796875" style="64" customWidth="1"/>
    <col min="19" max="19" width="12" style="64" customWidth="1"/>
    <col min="20" max="20" width="11.81640625" style="64" customWidth="1"/>
    <col min="21" max="21" width="10" style="53" customWidth="1"/>
    <col min="22" max="22" width="5.1796875" style="45" customWidth="1"/>
    <col min="23" max="25" width="13.90625" style="8" customWidth="1"/>
    <col min="26" max="26" width="12.90625" style="46" customWidth="1"/>
    <col min="27" max="27" width="7" style="4" customWidth="1"/>
    <col min="28" max="28" width="11.36328125" style="46" customWidth="1"/>
    <col min="29" max="29" width="33.1796875" style="1" customWidth="1"/>
    <col min="30" max="30" width="22.54296875" style="1" customWidth="1"/>
    <col min="31" max="31" width="24.6328125" style="1" customWidth="1"/>
    <col min="32" max="32" width="12.36328125" style="1" customWidth="1"/>
    <col min="33" max="33" width="4.36328125" style="1" customWidth="1"/>
    <col min="34" max="34" width="7.54296875" style="36" customWidth="1"/>
    <col min="35" max="35" width="27.1796875" style="1" customWidth="1"/>
    <col min="36" max="36" width="14" style="1" customWidth="1"/>
    <col min="37" max="37" width="21.36328125" style="1" customWidth="1"/>
    <col min="38" max="38" width="15.6328125" style="1" customWidth="1"/>
    <col min="39" max="39" width="12.81640625" style="1" customWidth="1"/>
    <col min="40" max="40" width="11.453125" style="1" customWidth="1"/>
    <col min="41" max="41" width="3.90625" style="1" customWidth="1"/>
    <col min="42" max="42" width="6.81640625" style="1" customWidth="1"/>
    <col min="43" max="43" width="12.36328125" style="1" customWidth="1"/>
    <col min="44" max="44" width="17.54296875" style="1" customWidth="1"/>
    <col min="45" max="45" width="13.36328125" style="1" bestFit="1" customWidth="1"/>
    <col min="46" max="46" width="8.36328125" style="56" customWidth="1"/>
    <col min="47" max="47" width="8.36328125" style="36" customWidth="1"/>
    <col min="48" max="48" width="5.81640625" style="1" customWidth="1"/>
    <col min="49" max="49" width="5.54296875" style="1" customWidth="1"/>
    <col min="50" max="50" width="6.81640625" style="1" customWidth="1"/>
    <col min="51" max="51" width="6.54296875" style="1" customWidth="1"/>
    <col min="52" max="55" width="6.6328125" style="1" customWidth="1"/>
    <col min="56" max="56" width="5.453125" style="1" customWidth="1"/>
    <col min="57" max="57" width="5.08984375" style="1" customWidth="1"/>
    <col min="58" max="58" width="11.1796875" style="36" customWidth="1"/>
    <col min="59" max="66" width="8.90625" style="36" customWidth="1"/>
    <col min="67" max="68" width="8.90625" style="1" customWidth="1"/>
    <col min="69" max="69" width="9" style="1" bestFit="1" customWidth="1"/>
    <col min="70" max="70" width="9.90625" style="52" bestFit="1" customWidth="1"/>
    <col min="71" max="71" width="8.81640625" style="52" customWidth="1"/>
    <col min="72" max="72" width="12.6328125" style="43" customWidth="1"/>
    <col min="73" max="16384" width="8.90625" style="1"/>
  </cols>
  <sheetData>
    <row r="1" spans="1:72" s="28" customFormat="1" ht="66.75" customHeight="1" x14ac:dyDescent="0.25">
      <c r="A1" s="15" t="s">
        <v>1757</v>
      </c>
      <c r="B1" s="16" t="s">
        <v>1957</v>
      </c>
      <c r="C1" s="16" t="s">
        <v>2049</v>
      </c>
      <c r="D1" s="17" t="s">
        <v>1958</v>
      </c>
      <c r="E1" s="17" t="s">
        <v>1959</v>
      </c>
      <c r="F1" s="17" t="s">
        <v>1251</v>
      </c>
      <c r="G1" s="18" t="s">
        <v>868</v>
      </c>
      <c r="H1" s="19" t="s">
        <v>1842</v>
      </c>
      <c r="I1" s="19" t="s">
        <v>1843</v>
      </c>
      <c r="J1" s="17" t="s">
        <v>894</v>
      </c>
      <c r="K1" s="20" t="s">
        <v>1646</v>
      </c>
      <c r="L1" s="21" t="s">
        <v>441</v>
      </c>
      <c r="M1" s="22" t="s">
        <v>1647</v>
      </c>
      <c r="N1" s="22" t="s">
        <v>1648</v>
      </c>
      <c r="O1" s="23" t="s">
        <v>767</v>
      </c>
      <c r="P1" s="16" t="s">
        <v>867</v>
      </c>
      <c r="Q1" s="24" t="s">
        <v>1010</v>
      </c>
      <c r="R1" s="25" t="s">
        <v>1128</v>
      </c>
      <c r="S1" s="25" t="s">
        <v>1602</v>
      </c>
      <c r="T1" s="24" t="s">
        <v>1603</v>
      </c>
      <c r="U1" s="26" t="s">
        <v>1131</v>
      </c>
      <c r="V1" s="27" t="s">
        <v>1132</v>
      </c>
      <c r="W1" s="29" t="s">
        <v>1929</v>
      </c>
      <c r="X1" s="29" t="s">
        <v>1975</v>
      </c>
      <c r="Y1" s="29" t="s">
        <v>1976</v>
      </c>
      <c r="Z1" s="30" t="s">
        <v>1977</v>
      </c>
      <c r="AA1" s="14" t="s">
        <v>1837</v>
      </c>
      <c r="AB1" s="30" t="s">
        <v>1978</v>
      </c>
      <c r="AC1" s="17" t="s">
        <v>1960</v>
      </c>
      <c r="AD1" s="28" t="s">
        <v>1961</v>
      </c>
      <c r="AE1" s="28" t="s">
        <v>1962</v>
      </c>
      <c r="AF1" s="28" t="s">
        <v>1251</v>
      </c>
      <c r="AG1" s="28" t="s">
        <v>1963</v>
      </c>
      <c r="AH1" s="21" t="s">
        <v>1964</v>
      </c>
      <c r="AI1" s="28" t="s">
        <v>1965</v>
      </c>
      <c r="AJ1" s="28" t="s">
        <v>296</v>
      </c>
      <c r="AK1" s="28" t="s">
        <v>2010</v>
      </c>
      <c r="AL1" s="28" t="s">
        <v>2011</v>
      </c>
      <c r="AM1" s="28" t="s">
        <v>2012</v>
      </c>
      <c r="AN1" s="28" t="s">
        <v>1251</v>
      </c>
      <c r="AO1" s="28" t="s">
        <v>1963</v>
      </c>
      <c r="AP1" s="28" t="s">
        <v>1964</v>
      </c>
      <c r="AQ1" s="28" t="s">
        <v>2013</v>
      </c>
      <c r="AR1" s="28" t="s">
        <v>1965</v>
      </c>
      <c r="AS1" s="28" t="s">
        <v>296</v>
      </c>
      <c r="AT1" s="31" t="s">
        <v>1759</v>
      </c>
      <c r="AU1" s="16" t="s">
        <v>768</v>
      </c>
      <c r="AV1" s="32" t="s">
        <v>2006</v>
      </c>
      <c r="AW1" s="32" t="s">
        <v>2075</v>
      </c>
      <c r="AX1" s="28" t="s">
        <v>297</v>
      </c>
      <c r="AY1" s="28" t="s">
        <v>1966</v>
      </c>
      <c r="AZ1" s="28" t="s">
        <v>1967</v>
      </c>
      <c r="BA1" s="28" t="s">
        <v>1968</v>
      </c>
      <c r="BB1" s="28" t="s">
        <v>1969</v>
      </c>
      <c r="BC1" s="28" t="s">
        <v>1830</v>
      </c>
      <c r="BD1" s="28" t="s">
        <v>1970</v>
      </c>
      <c r="BE1" s="28" t="s">
        <v>1971</v>
      </c>
      <c r="BF1" s="21" t="s">
        <v>1758</v>
      </c>
      <c r="BG1" s="33">
        <v>0.2</v>
      </c>
      <c r="BH1" s="33">
        <v>0.3</v>
      </c>
      <c r="BI1" s="33">
        <v>0.4</v>
      </c>
      <c r="BJ1" s="33">
        <v>0.5</v>
      </c>
      <c r="BK1" s="33">
        <v>0.6</v>
      </c>
      <c r="BL1" s="33">
        <v>0.7</v>
      </c>
      <c r="BM1" s="33">
        <v>0.8</v>
      </c>
      <c r="BN1" s="33" t="s">
        <v>2152</v>
      </c>
      <c r="BO1" s="28" t="s">
        <v>1871</v>
      </c>
      <c r="BP1" s="28" t="s">
        <v>1822</v>
      </c>
      <c r="BQ1" s="28" t="s">
        <v>1868</v>
      </c>
      <c r="BR1" s="34" t="s">
        <v>1844</v>
      </c>
      <c r="BS1" s="16" t="s">
        <v>1252</v>
      </c>
      <c r="BT1" s="16" t="s">
        <v>1256</v>
      </c>
    </row>
    <row r="2" spans="1:72" s="197" customFormat="1" ht="18.600000000000001" customHeight="1" x14ac:dyDescent="0.25">
      <c r="A2" s="181"/>
      <c r="B2" s="182"/>
      <c r="C2" s="182"/>
      <c r="D2" s="183"/>
      <c r="E2" s="183"/>
      <c r="F2" s="183"/>
      <c r="G2" s="184"/>
      <c r="H2" s="185"/>
      <c r="I2" s="185"/>
      <c r="J2" s="183"/>
      <c r="K2" s="186"/>
      <c r="L2" s="187"/>
      <c r="M2" s="188"/>
      <c r="N2" s="188"/>
      <c r="O2" s="189"/>
      <c r="P2" s="182"/>
      <c r="Q2" s="190"/>
      <c r="R2" s="191"/>
      <c r="S2" s="191"/>
      <c r="T2" s="190"/>
      <c r="U2" s="192"/>
      <c r="V2" s="193"/>
      <c r="W2" s="194"/>
      <c r="X2" s="194"/>
      <c r="Y2" s="194"/>
      <c r="Z2" s="195"/>
      <c r="AA2" s="196"/>
      <c r="AB2" s="195"/>
      <c r="AC2" s="183"/>
      <c r="AH2" s="187"/>
      <c r="AT2" s="198"/>
      <c r="AU2" s="182"/>
      <c r="AV2" s="199"/>
      <c r="AW2" s="199"/>
      <c r="BF2" s="187"/>
      <c r="BG2" s="200"/>
      <c r="BH2" s="200"/>
      <c r="BI2" s="200"/>
      <c r="BJ2" s="200"/>
      <c r="BK2" s="200"/>
      <c r="BL2" s="200"/>
      <c r="BM2" s="200"/>
      <c r="BN2" s="200"/>
      <c r="BR2" s="201"/>
      <c r="BS2" s="182"/>
      <c r="BT2" s="182"/>
    </row>
    <row r="3" spans="1:72" ht="12.75" customHeight="1" x14ac:dyDescent="0.25">
      <c r="A3" s="6" t="s">
        <v>2289</v>
      </c>
      <c r="B3" s="35">
        <v>2025</v>
      </c>
      <c r="C3" s="36" t="s">
        <v>1014</v>
      </c>
      <c r="D3" s="37" t="s">
        <v>2298</v>
      </c>
      <c r="E3" s="1" t="s">
        <v>2290</v>
      </c>
      <c r="F3" s="1" t="s">
        <v>65</v>
      </c>
      <c r="G3" s="38">
        <v>59405</v>
      </c>
      <c r="H3" s="39">
        <v>47.491388000000001</v>
      </c>
      <c r="I3" s="39">
        <v>-111.255574</v>
      </c>
      <c r="J3" s="1" t="s">
        <v>308</v>
      </c>
      <c r="K3" s="40">
        <v>0.04</v>
      </c>
      <c r="L3" s="36" t="s">
        <v>1154</v>
      </c>
      <c r="M3" s="1" t="s">
        <v>307</v>
      </c>
      <c r="N3" s="36" t="s">
        <v>45</v>
      </c>
      <c r="O3" s="41">
        <v>60</v>
      </c>
      <c r="P3" s="36">
        <v>3</v>
      </c>
      <c r="Q3" s="42">
        <v>7523630</v>
      </c>
      <c r="R3" s="43">
        <v>6319217</v>
      </c>
      <c r="S3" s="43">
        <v>11984655</v>
      </c>
      <c r="T3" s="42"/>
      <c r="U3" s="44">
        <v>6.0499999999999998E-2</v>
      </c>
      <c r="V3" s="45">
        <v>40</v>
      </c>
      <c r="W3" s="179"/>
      <c r="AC3" s="1" t="s">
        <v>2291</v>
      </c>
      <c r="AD3" s="1" t="s">
        <v>2292</v>
      </c>
      <c r="AE3" s="1" t="s">
        <v>2293</v>
      </c>
      <c r="AF3" s="1" t="s">
        <v>793</v>
      </c>
      <c r="AG3" s="1" t="s">
        <v>474</v>
      </c>
      <c r="AH3" s="36">
        <v>98121</v>
      </c>
      <c r="AI3" s="180" t="s">
        <v>2294</v>
      </c>
      <c r="AJ3" s="48" t="s">
        <v>2295</v>
      </c>
      <c r="AK3" s="1" t="s">
        <v>2296</v>
      </c>
      <c r="AL3" s="1" t="s">
        <v>2022</v>
      </c>
      <c r="AM3" s="1" t="s">
        <v>2023</v>
      </c>
      <c r="AN3" s="1" t="s">
        <v>65</v>
      </c>
      <c r="AO3" s="1" t="s">
        <v>472</v>
      </c>
      <c r="AP3" s="1">
        <v>59403</v>
      </c>
      <c r="AQ3" s="36">
        <v>60</v>
      </c>
      <c r="AR3" s="36"/>
      <c r="AS3" s="49" t="s">
        <v>2297</v>
      </c>
      <c r="AT3" s="50"/>
      <c r="AU3" s="35"/>
      <c r="AY3" s="1">
        <v>27</v>
      </c>
      <c r="AZ3" s="1">
        <v>30</v>
      </c>
      <c r="BA3" s="1">
        <v>3</v>
      </c>
      <c r="BF3" s="36" t="s">
        <v>2005</v>
      </c>
      <c r="BK3" s="36">
        <v>60</v>
      </c>
      <c r="BP3" s="1">
        <f t="shared" ref="BP3:BP11" si="0">SUM(BG3:BO3)</f>
        <v>60</v>
      </c>
      <c r="BQ3" s="51">
        <f t="shared" ref="BQ3" si="1">((BH3*BH$1)+(BI3*BI$1)+(BJ3*BJ$1)+(BK3*BK$1)+(BL3*BL$1)+(BM3*BM$1))/SUM(BH3:BM3)</f>
        <v>0.6</v>
      </c>
      <c r="BR3" s="52">
        <v>18158568</v>
      </c>
      <c r="BS3" s="52" t="e">
        <f>VLOOKUP(M3,#REF!,2,TRUE)*(BR3/1000000)</f>
        <v>#REF!</v>
      </c>
      <c r="BT3" s="43" t="e">
        <f>VLOOKUP(M3,#REF!,3,TRUE)*(BR3/1000000)</f>
        <v>#REF!</v>
      </c>
    </row>
    <row r="4" spans="1:72" ht="12.75" customHeight="1" x14ac:dyDescent="0.25">
      <c r="A4" s="6">
        <v>45587</v>
      </c>
      <c r="B4" s="35">
        <v>2025</v>
      </c>
      <c r="C4" s="36" t="s">
        <v>1014</v>
      </c>
      <c r="D4" s="1" t="s">
        <v>1254</v>
      </c>
      <c r="E4" s="1" t="s">
        <v>2272</v>
      </c>
      <c r="F4" s="1" t="s">
        <v>192</v>
      </c>
      <c r="G4" s="38">
        <v>59101</v>
      </c>
      <c r="H4" s="39">
        <v>45.755600000000001</v>
      </c>
      <c r="I4" s="39">
        <v>-108.51479</v>
      </c>
      <c r="J4" s="1" t="s">
        <v>300</v>
      </c>
      <c r="K4" s="40">
        <v>0.09</v>
      </c>
      <c r="L4" s="36" t="s">
        <v>1154</v>
      </c>
      <c r="M4" s="1" t="s">
        <v>1169</v>
      </c>
      <c r="N4" s="36" t="s">
        <v>45</v>
      </c>
      <c r="O4" s="41">
        <v>26</v>
      </c>
      <c r="P4" s="36">
        <v>10</v>
      </c>
      <c r="Q4" s="42">
        <v>4702040</v>
      </c>
      <c r="R4" s="43">
        <v>3925811</v>
      </c>
      <c r="S4" s="43">
        <v>0</v>
      </c>
      <c r="T4" s="42">
        <v>0</v>
      </c>
      <c r="U4" s="53">
        <v>0</v>
      </c>
      <c r="AC4" s="1" t="s">
        <v>2273</v>
      </c>
      <c r="AD4" s="1" t="s">
        <v>976</v>
      </c>
      <c r="AE4" s="1" t="s">
        <v>2143</v>
      </c>
      <c r="AF4" s="1" t="s">
        <v>887</v>
      </c>
      <c r="AG4" s="1" t="s">
        <v>472</v>
      </c>
      <c r="AH4" s="36">
        <v>59601</v>
      </c>
      <c r="AI4" s="47" t="s">
        <v>1636</v>
      </c>
      <c r="AJ4" s="48">
        <v>4064595332</v>
      </c>
      <c r="AK4" s="1" t="s">
        <v>2060</v>
      </c>
      <c r="AL4" s="1" t="s">
        <v>2061</v>
      </c>
      <c r="AM4" s="1" t="s">
        <v>2062</v>
      </c>
      <c r="AN4" s="1" t="s">
        <v>192</v>
      </c>
      <c r="AO4" s="1" t="s">
        <v>472</v>
      </c>
      <c r="AP4" s="1">
        <v>59105</v>
      </c>
      <c r="AQ4" s="36" t="s">
        <v>2274</v>
      </c>
      <c r="AR4" s="54" t="s">
        <v>2063</v>
      </c>
      <c r="AS4" s="49">
        <v>4066578296</v>
      </c>
      <c r="AT4" s="50">
        <v>10425</v>
      </c>
      <c r="AU4" s="35">
        <f t="shared" ref="AU4:AU9" si="2">SUM(AV4:BE4)</f>
        <v>26</v>
      </c>
      <c r="AX4" s="1">
        <v>5</v>
      </c>
      <c r="AY4" s="1">
        <v>8</v>
      </c>
      <c r="AZ4" s="1">
        <v>13</v>
      </c>
      <c r="BF4" s="36" t="s">
        <v>1868</v>
      </c>
      <c r="BI4" s="36">
        <v>6</v>
      </c>
      <c r="BJ4" s="36">
        <v>6</v>
      </c>
      <c r="BK4" s="36">
        <v>5</v>
      </c>
      <c r="BM4" s="36">
        <v>9</v>
      </c>
      <c r="BP4" s="1">
        <f t="shared" si="0"/>
        <v>26</v>
      </c>
      <c r="BQ4" s="51">
        <f t="shared" ref="BQ4:BQ11" si="3">((BH4*BH$1)+(BI4*BI$1)+(BJ4*BJ$1)+(BK4*BK$1)+(BL4*BL$1)+(BM4*BM$1))/SUM(BH4:BM4)</f>
        <v>0.60000000000000009</v>
      </c>
      <c r="BR4" s="52">
        <v>9074050</v>
      </c>
      <c r="BS4" s="52" t="e">
        <f>VLOOKUP(M4,#REF!,2,TRUE)*(BR4/1000000)</f>
        <v>#REF!</v>
      </c>
      <c r="BT4" s="43" t="e">
        <f>VLOOKUP(M4,#REF!,3,TRUE)*(BR4/1000000)</f>
        <v>#REF!</v>
      </c>
    </row>
    <row r="5" spans="1:72" ht="12.75" customHeight="1" x14ac:dyDescent="0.25">
      <c r="A5" s="6">
        <v>45587</v>
      </c>
      <c r="B5" s="35">
        <v>2025</v>
      </c>
      <c r="C5" s="36" t="s">
        <v>1014</v>
      </c>
      <c r="D5" s="1" t="s">
        <v>2245</v>
      </c>
      <c r="E5" s="1" t="s">
        <v>2247</v>
      </c>
      <c r="F5" s="1" t="s">
        <v>192</v>
      </c>
      <c r="G5" s="38">
        <v>59105</v>
      </c>
      <c r="H5" s="39">
        <v>45.82461</v>
      </c>
      <c r="I5" s="39">
        <v>-108.48148</v>
      </c>
      <c r="J5" s="1" t="s">
        <v>300</v>
      </c>
      <c r="K5" s="40">
        <v>0.09</v>
      </c>
      <c r="L5" s="36" t="s">
        <v>426</v>
      </c>
      <c r="M5" s="1" t="s">
        <v>1169</v>
      </c>
      <c r="N5" s="36" t="s">
        <v>45</v>
      </c>
      <c r="O5" s="41">
        <v>22</v>
      </c>
      <c r="P5" s="36">
        <v>4</v>
      </c>
      <c r="Q5" s="42">
        <v>6500000</v>
      </c>
      <c r="R5" s="43">
        <v>5524448</v>
      </c>
      <c r="S5" s="43"/>
      <c r="T5" s="42"/>
      <c r="AC5" s="1" t="s">
        <v>2249</v>
      </c>
      <c r="AD5" s="1" t="s">
        <v>955</v>
      </c>
      <c r="AE5" s="1" t="s">
        <v>2250</v>
      </c>
      <c r="AF5" s="1" t="s">
        <v>338</v>
      </c>
      <c r="AG5" s="1" t="s">
        <v>472</v>
      </c>
      <c r="AH5" s="36">
        <v>59801</v>
      </c>
      <c r="AI5" s="47" t="s">
        <v>1210</v>
      </c>
      <c r="AJ5" s="48">
        <v>4065324663</v>
      </c>
      <c r="AK5" s="1" t="s">
        <v>2060</v>
      </c>
      <c r="AL5" s="1" t="s">
        <v>2061</v>
      </c>
      <c r="AM5" s="1" t="s">
        <v>2062</v>
      </c>
      <c r="AN5" s="1" t="s">
        <v>192</v>
      </c>
      <c r="AO5" s="1" t="s">
        <v>472</v>
      </c>
      <c r="AP5" s="1">
        <v>59105</v>
      </c>
      <c r="AQ5" s="36" t="s">
        <v>2092</v>
      </c>
      <c r="AR5" s="54" t="s">
        <v>2063</v>
      </c>
      <c r="AS5" s="49">
        <v>4066578296</v>
      </c>
      <c r="AT5" s="50">
        <v>1254</v>
      </c>
      <c r="AU5" s="35">
        <f t="shared" si="2"/>
        <v>22</v>
      </c>
      <c r="AY5" s="1">
        <f>17+5</f>
        <v>22</v>
      </c>
      <c r="BF5" s="36" t="s">
        <v>2005</v>
      </c>
      <c r="BJ5" s="36">
        <v>17</v>
      </c>
      <c r="BK5" s="36">
        <v>5</v>
      </c>
      <c r="BP5" s="1">
        <f t="shared" si="0"/>
        <v>22</v>
      </c>
      <c r="BQ5" s="51">
        <f t="shared" si="3"/>
        <v>0.52272727272727271</v>
      </c>
      <c r="BR5" s="52">
        <v>6414158</v>
      </c>
      <c r="BS5" s="52" t="e">
        <f>VLOOKUP(M5,#REF!,2,TRUE)*(BR5/1000000)</f>
        <v>#REF!</v>
      </c>
      <c r="BT5" s="43" t="e">
        <f>VLOOKUP(M5,#REF!,3,TRUE)*(BR5/1000000)</f>
        <v>#REF!</v>
      </c>
    </row>
    <row r="6" spans="1:72" ht="12.75" customHeight="1" x14ac:dyDescent="0.25">
      <c r="A6" s="6" t="s">
        <v>2286</v>
      </c>
      <c r="B6" s="35">
        <v>2025</v>
      </c>
      <c r="C6" s="36" t="s">
        <v>1014</v>
      </c>
      <c r="D6" s="1" t="s">
        <v>2246</v>
      </c>
      <c r="E6" s="1" t="s">
        <v>2248</v>
      </c>
      <c r="F6" s="1" t="s">
        <v>1039</v>
      </c>
      <c r="G6" s="38">
        <v>59044</v>
      </c>
      <c r="H6" s="39">
        <v>45.664679999999997</v>
      </c>
      <c r="I6" s="39">
        <v>-108.78151</v>
      </c>
      <c r="J6" s="1" t="s">
        <v>300</v>
      </c>
      <c r="K6" s="40">
        <v>0.04</v>
      </c>
      <c r="L6" s="36" t="s">
        <v>426</v>
      </c>
      <c r="M6" s="1" t="s">
        <v>1169</v>
      </c>
      <c r="N6" s="36" t="s">
        <v>1152</v>
      </c>
      <c r="O6" s="41">
        <v>109</v>
      </c>
      <c r="P6" s="36">
        <v>24</v>
      </c>
      <c r="Q6" s="42">
        <v>11761520</v>
      </c>
      <c r="R6" s="43">
        <v>10231498</v>
      </c>
      <c r="S6" s="43">
        <v>18500000</v>
      </c>
      <c r="T6" s="42">
        <v>8500000</v>
      </c>
      <c r="U6" s="53">
        <v>6.6799999999999998E-2</v>
      </c>
      <c r="V6" s="45">
        <v>35</v>
      </c>
      <c r="AC6" s="1" t="s">
        <v>2249</v>
      </c>
      <c r="AD6" s="1" t="s">
        <v>955</v>
      </c>
      <c r="AE6" s="1" t="s">
        <v>2250</v>
      </c>
      <c r="AF6" s="1" t="s">
        <v>338</v>
      </c>
      <c r="AG6" s="1" t="s">
        <v>472</v>
      </c>
      <c r="AH6" s="36">
        <v>59801</v>
      </c>
      <c r="AI6" s="47" t="s">
        <v>1210</v>
      </c>
      <c r="AJ6" s="48">
        <v>4065324663</v>
      </c>
      <c r="AK6" s="1" t="s">
        <v>2252</v>
      </c>
      <c r="AL6" s="1" t="s">
        <v>2253</v>
      </c>
      <c r="AM6" s="1" t="s">
        <v>2254</v>
      </c>
      <c r="AN6" s="1" t="s">
        <v>1039</v>
      </c>
      <c r="AO6" s="1" t="s">
        <v>472</v>
      </c>
      <c r="AP6" s="1">
        <v>59044</v>
      </c>
      <c r="AQ6" s="36" t="s">
        <v>2092</v>
      </c>
      <c r="AR6" s="54" t="s">
        <v>2251</v>
      </c>
      <c r="AS6" s="49">
        <v>4066288456</v>
      </c>
      <c r="AT6" s="50">
        <v>1254</v>
      </c>
      <c r="AU6" s="35">
        <f t="shared" si="2"/>
        <v>109</v>
      </c>
      <c r="AX6" s="1">
        <v>29</v>
      </c>
      <c r="AY6" s="1">
        <f>34+33+3+8</f>
        <v>78</v>
      </c>
      <c r="BE6" s="1">
        <v>2</v>
      </c>
      <c r="BF6" s="36" t="s">
        <v>2005</v>
      </c>
      <c r="BI6" s="36">
        <v>3</v>
      </c>
      <c r="BJ6" s="36">
        <f>29+34+8</f>
        <v>71</v>
      </c>
      <c r="BK6" s="36">
        <v>33</v>
      </c>
      <c r="BO6" s="1">
        <v>2</v>
      </c>
      <c r="BP6" s="1">
        <f t="shared" si="0"/>
        <v>109</v>
      </c>
      <c r="BQ6" s="51">
        <f t="shared" si="3"/>
        <v>0.5280373831775701</v>
      </c>
      <c r="BR6" s="52">
        <v>30573048</v>
      </c>
      <c r="BS6" s="52" t="e">
        <f>VLOOKUP(M6,#REF!,2,TRUE)*(BR6/1000000)</f>
        <v>#REF!</v>
      </c>
      <c r="BT6" s="43" t="e">
        <f>VLOOKUP(M6,#REF!,3,TRUE)*(BR6/1000000)</f>
        <v>#REF!</v>
      </c>
    </row>
    <row r="7" spans="1:72" ht="12.75" customHeight="1" x14ac:dyDescent="0.25">
      <c r="A7" s="6">
        <v>45587</v>
      </c>
      <c r="B7" s="35">
        <v>2025</v>
      </c>
      <c r="C7" s="36" t="s">
        <v>1014</v>
      </c>
      <c r="D7" s="1" t="s">
        <v>2234</v>
      </c>
      <c r="E7" s="1" t="s">
        <v>2259</v>
      </c>
      <c r="F7" s="1" t="s">
        <v>338</v>
      </c>
      <c r="G7" s="38">
        <v>59801</v>
      </c>
      <c r="H7" s="39">
        <v>46.866630000000001</v>
      </c>
      <c r="I7" s="39">
        <v>-114.01009999999999</v>
      </c>
      <c r="J7" s="1" t="s">
        <v>338</v>
      </c>
      <c r="K7" s="40">
        <v>0.09</v>
      </c>
      <c r="L7" s="36" t="s">
        <v>426</v>
      </c>
      <c r="M7" s="1" t="s">
        <v>1169</v>
      </c>
      <c r="N7" s="36" t="s">
        <v>45</v>
      </c>
      <c r="O7" s="41">
        <v>24</v>
      </c>
      <c r="P7" s="36">
        <v>1</v>
      </c>
      <c r="Q7" s="42">
        <v>6500000</v>
      </c>
      <c r="R7" s="43">
        <v>5362500</v>
      </c>
      <c r="S7" s="43">
        <v>0</v>
      </c>
      <c r="T7" s="42">
        <v>0</v>
      </c>
      <c r="U7" s="53">
        <v>0</v>
      </c>
      <c r="V7" s="45">
        <v>0</v>
      </c>
      <c r="AC7" s="1" t="s">
        <v>2239</v>
      </c>
      <c r="AD7" s="1" t="s">
        <v>1230</v>
      </c>
      <c r="AE7" s="1" t="s">
        <v>2260</v>
      </c>
      <c r="AF7" s="1" t="s">
        <v>338</v>
      </c>
      <c r="AG7" s="1" t="s">
        <v>472</v>
      </c>
      <c r="AH7" s="36">
        <v>59804</v>
      </c>
      <c r="AI7" s="47" t="s">
        <v>1232</v>
      </c>
      <c r="AJ7" s="48">
        <v>4062141618</v>
      </c>
      <c r="AK7" s="1" t="s">
        <v>2264</v>
      </c>
      <c r="AL7" s="1" t="s">
        <v>2031</v>
      </c>
      <c r="AM7" s="1" t="s">
        <v>2033</v>
      </c>
      <c r="AN7" s="1" t="s">
        <v>338</v>
      </c>
      <c r="AO7" s="1" t="s">
        <v>472</v>
      </c>
      <c r="AP7" s="1">
        <v>59801</v>
      </c>
      <c r="AQ7" s="36" t="s">
        <v>2261</v>
      </c>
      <c r="AR7" s="54" t="s">
        <v>2262</v>
      </c>
      <c r="AS7" s="49" t="s">
        <v>2230</v>
      </c>
      <c r="AT7" s="50">
        <v>2194</v>
      </c>
      <c r="AU7" s="35">
        <v>24</v>
      </c>
      <c r="AX7" s="1">
        <v>9</v>
      </c>
      <c r="AY7" s="1">
        <v>15</v>
      </c>
      <c r="BF7" s="36" t="s">
        <v>1868</v>
      </c>
      <c r="BI7" s="36">
        <v>1</v>
      </c>
      <c r="BJ7" s="36">
        <v>1</v>
      </c>
      <c r="BK7" s="36">
        <v>20</v>
      </c>
      <c r="BL7" s="36">
        <v>1</v>
      </c>
      <c r="BM7" s="36">
        <v>1</v>
      </c>
      <c r="BP7" s="1">
        <f t="shared" si="0"/>
        <v>24</v>
      </c>
      <c r="BQ7" s="51">
        <f t="shared" si="3"/>
        <v>0.6</v>
      </c>
      <c r="BR7" s="52">
        <v>8652454</v>
      </c>
      <c r="BS7" s="52" t="e">
        <f>VLOOKUP(M7,#REF!,2,TRUE)*(BR7/1000000)</f>
        <v>#REF!</v>
      </c>
      <c r="BT7" s="43" t="e">
        <f>VLOOKUP(M7,#REF!,3,TRUE)*(BR7/1000000)</f>
        <v>#REF!</v>
      </c>
    </row>
    <row r="8" spans="1:72" ht="12.75" customHeight="1" x14ac:dyDescent="0.25">
      <c r="A8" s="6">
        <v>45587</v>
      </c>
      <c r="B8" s="35">
        <v>2025</v>
      </c>
      <c r="C8" s="36" t="s">
        <v>1014</v>
      </c>
      <c r="D8" s="1" t="s">
        <v>2235</v>
      </c>
      <c r="E8" s="1" t="s">
        <v>2268</v>
      </c>
      <c r="F8" s="1" t="s">
        <v>195</v>
      </c>
      <c r="G8" s="38">
        <v>59718</v>
      </c>
      <c r="H8" s="39">
        <v>45.690289999999997</v>
      </c>
      <c r="I8" s="39">
        <v>-111.05395</v>
      </c>
      <c r="J8" s="1" t="s">
        <v>314</v>
      </c>
      <c r="K8" s="40">
        <v>0.09</v>
      </c>
      <c r="L8" s="36" t="s">
        <v>426</v>
      </c>
      <c r="M8" s="1" t="s">
        <v>1169</v>
      </c>
      <c r="N8" s="36" t="s">
        <v>45</v>
      </c>
      <c r="O8" s="41">
        <v>21</v>
      </c>
      <c r="P8" s="36">
        <v>1</v>
      </c>
      <c r="Q8" s="42">
        <v>6500000</v>
      </c>
      <c r="R8" s="43">
        <v>5348500</v>
      </c>
      <c r="S8" s="43">
        <v>0</v>
      </c>
      <c r="T8" s="42">
        <v>0</v>
      </c>
      <c r="AC8" s="1" t="s">
        <v>2240</v>
      </c>
      <c r="AD8" s="1" t="s">
        <v>1638</v>
      </c>
      <c r="AE8" s="1" t="s">
        <v>2139</v>
      </c>
      <c r="AF8" s="1" t="s">
        <v>338</v>
      </c>
      <c r="AG8" s="1" t="s">
        <v>472</v>
      </c>
      <c r="AH8" s="36">
        <v>59801</v>
      </c>
      <c r="AI8" s="47" t="s">
        <v>2089</v>
      </c>
      <c r="AJ8" s="48">
        <v>4065314745</v>
      </c>
      <c r="AK8" s="1" t="s">
        <v>2270</v>
      </c>
      <c r="AL8" s="1" t="s">
        <v>2047</v>
      </c>
      <c r="AM8" s="1" t="s">
        <v>2048</v>
      </c>
      <c r="AN8" s="1" t="s">
        <v>195</v>
      </c>
      <c r="AO8" s="1" t="s">
        <v>472</v>
      </c>
      <c r="AP8" s="1">
        <v>59715</v>
      </c>
      <c r="AQ8" s="36">
        <v>60</v>
      </c>
      <c r="AR8" s="178" t="s">
        <v>2271</v>
      </c>
      <c r="AS8" s="49">
        <v>4065953295</v>
      </c>
      <c r="AT8" s="50">
        <v>2393</v>
      </c>
      <c r="AU8" s="35">
        <f t="shared" si="2"/>
        <v>20</v>
      </c>
      <c r="AX8" s="1">
        <v>20</v>
      </c>
      <c r="BF8" s="36" t="s">
        <v>2005</v>
      </c>
      <c r="BK8" s="36">
        <v>20</v>
      </c>
      <c r="BP8" s="1">
        <f t="shared" si="0"/>
        <v>20</v>
      </c>
      <c r="BQ8" s="51">
        <f t="shared" si="3"/>
        <v>0.6</v>
      </c>
      <c r="BR8" s="52">
        <v>6603969</v>
      </c>
      <c r="BS8" s="52" t="e">
        <f>VLOOKUP(M8,#REF!,2,TRUE)*(BR8/1000000)</f>
        <v>#REF!</v>
      </c>
      <c r="BT8" s="43" t="e">
        <f>VLOOKUP(M8,#REF!,3,TRUE)*(BR8/1000000)</f>
        <v>#REF!</v>
      </c>
    </row>
    <row r="9" spans="1:72" ht="12.75" customHeight="1" x14ac:dyDescent="0.25">
      <c r="A9" s="6" t="s">
        <v>2286</v>
      </c>
      <c r="B9" s="35">
        <v>2025</v>
      </c>
      <c r="C9" s="36" t="s">
        <v>1014</v>
      </c>
      <c r="D9" s="1" t="s">
        <v>2236</v>
      </c>
      <c r="E9" s="1" t="s">
        <v>2269</v>
      </c>
      <c r="F9" s="1" t="s">
        <v>195</v>
      </c>
      <c r="G9" s="38">
        <v>59718</v>
      </c>
      <c r="H9" s="39">
        <v>45.690289999999997</v>
      </c>
      <c r="I9" s="39">
        <v>-111.05395</v>
      </c>
      <c r="J9" s="1" t="s">
        <v>314</v>
      </c>
      <c r="K9" s="40">
        <v>0.04</v>
      </c>
      <c r="L9" s="36" t="s">
        <v>426</v>
      </c>
      <c r="M9" s="1" t="s">
        <v>1169</v>
      </c>
      <c r="N9" s="36" t="s">
        <v>45</v>
      </c>
      <c r="O9" s="41">
        <f>166-O8</f>
        <v>145</v>
      </c>
      <c r="P9" s="36">
        <v>5</v>
      </c>
      <c r="Q9" s="42">
        <v>27999530</v>
      </c>
      <c r="R9" s="43">
        <v>23517250</v>
      </c>
      <c r="S9" s="43">
        <v>35700000</v>
      </c>
      <c r="T9" s="42">
        <v>16968921</v>
      </c>
      <c r="U9" s="53">
        <v>6.5000000000000002E-2</v>
      </c>
      <c r="V9" s="45">
        <v>30</v>
      </c>
      <c r="AC9" s="1" t="s">
        <v>2240</v>
      </c>
      <c r="AD9" s="1" t="s">
        <v>1638</v>
      </c>
      <c r="AE9" s="1" t="s">
        <v>2139</v>
      </c>
      <c r="AF9" s="1" t="s">
        <v>338</v>
      </c>
      <c r="AG9" s="1" t="s">
        <v>472</v>
      </c>
      <c r="AH9" s="36">
        <v>59801</v>
      </c>
      <c r="AI9" s="47" t="s">
        <v>2089</v>
      </c>
      <c r="AJ9" s="48">
        <v>4065314745</v>
      </c>
      <c r="AK9" s="1" t="s">
        <v>2270</v>
      </c>
      <c r="AL9" s="1" t="s">
        <v>2047</v>
      </c>
      <c r="AM9" s="1" t="s">
        <v>2048</v>
      </c>
      <c r="AN9" s="1" t="s">
        <v>195</v>
      </c>
      <c r="AO9" s="1" t="s">
        <v>472</v>
      </c>
      <c r="AP9" s="1">
        <v>59715</v>
      </c>
      <c r="AQ9" s="36" t="s">
        <v>2093</v>
      </c>
      <c r="AR9" s="178" t="s">
        <v>2271</v>
      </c>
      <c r="AS9" s="49">
        <v>4065953295</v>
      </c>
      <c r="AT9" s="50">
        <v>2393</v>
      </c>
      <c r="AU9" s="35">
        <f t="shared" si="2"/>
        <v>162</v>
      </c>
      <c r="AX9" s="1">
        <v>68</v>
      </c>
      <c r="AY9" s="1">
        <v>80</v>
      </c>
      <c r="BA9" s="1">
        <v>14</v>
      </c>
      <c r="BF9" s="36" t="s">
        <v>2005</v>
      </c>
      <c r="BH9" s="36">
        <v>8</v>
      </c>
      <c r="BK9" s="36">
        <f>68+48+14</f>
        <v>130</v>
      </c>
      <c r="BL9" s="36">
        <v>24</v>
      </c>
      <c r="BP9" s="1">
        <f t="shared" si="0"/>
        <v>162</v>
      </c>
      <c r="BQ9" s="51">
        <f t="shared" si="3"/>
        <v>0.6</v>
      </c>
      <c r="BR9" s="52">
        <v>59465304</v>
      </c>
      <c r="BS9" s="52" t="e">
        <f>VLOOKUP(M9,#REF!,2,TRUE)*(BR9/1000000)</f>
        <v>#REF!</v>
      </c>
      <c r="BT9" s="43" t="e">
        <f>VLOOKUP(M9,#REF!,3,TRUE)*(BR9/1000000)</f>
        <v>#REF!</v>
      </c>
    </row>
    <row r="10" spans="1:72" ht="12.75" customHeight="1" x14ac:dyDescent="0.25">
      <c r="A10" s="6">
        <v>45587</v>
      </c>
      <c r="B10" s="35">
        <v>2025</v>
      </c>
      <c r="C10" s="36" t="s">
        <v>1014</v>
      </c>
      <c r="D10" s="1" t="s">
        <v>2076</v>
      </c>
      <c r="E10" s="1" t="s">
        <v>2255</v>
      </c>
      <c r="F10" s="1" t="s">
        <v>920</v>
      </c>
      <c r="G10" s="38">
        <v>59860</v>
      </c>
      <c r="H10" s="39">
        <v>47.69003</v>
      </c>
      <c r="I10" s="39">
        <v>-114.149677</v>
      </c>
      <c r="J10" s="1" t="s">
        <v>318</v>
      </c>
      <c r="K10" s="40">
        <v>0.09</v>
      </c>
      <c r="L10" s="36" t="s">
        <v>1154</v>
      </c>
      <c r="M10" s="1" t="s">
        <v>1169</v>
      </c>
      <c r="N10" s="36" t="s">
        <v>1152</v>
      </c>
      <c r="O10" s="41">
        <v>24</v>
      </c>
      <c r="P10" s="36">
        <v>6</v>
      </c>
      <c r="Q10" s="42">
        <v>6500000</v>
      </c>
      <c r="R10" s="43">
        <v>5361964</v>
      </c>
      <c r="S10" s="43">
        <v>0</v>
      </c>
      <c r="T10" s="42">
        <v>0</v>
      </c>
      <c r="U10" s="53">
        <v>0</v>
      </c>
      <c r="V10" s="45">
        <v>0</v>
      </c>
      <c r="AC10" s="1" t="s">
        <v>1172</v>
      </c>
      <c r="AD10" s="1" t="s">
        <v>844</v>
      </c>
      <c r="AE10" s="1" t="s">
        <v>929</v>
      </c>
      <c r="AF10" s="1" t="s">
        <v>338</v>
      </c>
      <c r="AG10" s="1" t="s">
        <v>472</v>
      </c>
      <c r="AH10" s="36">
        <v>59806</v>
      </c>
      <c r="AI10" s="47" t="s">
        <v>1213</v>
      </c>
      <c r="AJ10" s="48">
        <v>4062031558</v>
      </c>
      <c r="AK10" s="1" t="s">
        <v>2256</v>
      </c>
      <c r="AL10" s="1" t="s">
        <v>2148</v>
      </c>
      <c r="AM10" s="1" t="s">
        <v>2257</v>
      </c>
      <c r="AN10" s="1" t="s">
        <v>920</v>
      </c>
      <c r="AO10" s="1" t="s">
        <v>472</v>
      </c>
      <c r="AP10" s="1">
        <v>59860</v>
      </c>
      <c r="AQ10" s="36" t="s">
        <v>2092</v>
      </c>
      <c r="AR10" s="54" t="s">
        <v>2150</v>
      </c>
      <c r="AS10" s="49" t="s">
        <v>2258</v>
      </c>
      <c r="AT10" s="50">
        <v>154</v>
      </c>
      <c r="AU10" s="35">
        <v>24</v>
      </c>
      <c r="AX10" s="1">
        <v>11</v>
      </c>
      <c r="AY10" s="1">
        <v>12</v>
      </c>
      <c r="BE10" s="1">
        <v>1</v>
      </c>
      <c r="BF10" s="36" t="s">
        <v>2005</v>
      </c>
      <c r="BI10" s="36">
        <v>2</v>
      </c>
      <c r="BJ10" s="36">
        <v>13</v>
      </c>
      <c r="BK10" s="36">
        <v>8</v>
      </c>
      <c r="BO10" s="1">
        <v>1</v>
      </c>
      <c r="BP10" s="1">
        <f t="shared" si="0"/>
        <v>24</v>
      </c>
      <c r="BQ10" s="51">
        <f t="shared" si="3"/>
        <v>0.52608695652173909</v>
      </c>
      <c r="BR10" s="52">
        <v>7287461</v>
      </c>
      <c r="BS10" s="52" t="e">
        <f>VLOOKUP(M10,#REF!,2,TRUE)*(BR10/1000000)</f>
        <v>#REF!</v>
      </c>
      <c r="BT10" s="43" t="e">
        <f>VLOOKUP(M10,#REF!,3,TRUE)*(BR10/1000000)</f>
        <v>#REF!</v>
      </c>
    </row>
    <row r="11" spans="1:72" ht="12.75" customHeight="1" x14ac:dyDescent="0.25">
      <c r="A11" s="6">
        <v>45587</v>
      </c>
      <c r="B11" s="35">
        <v>2025</v>
      </c>
      <c r="C11" s="36" t="s">
        <v>1014</v>
      </c>
      <c r="D11" s="1" t="s">
        <v>2237</v>
      </c>
      <c r="E11" s="1" t="s">
        <v>2263</v>
      </c>
      <c r="F11" s="1" t="s">
        <v>1040</v>
      </c>
      <c r="G11" s="38">
        <v>59725</v>
      </c>
      <c r="H11" s="39">
        <v>45.22316</v>
      </c>
      <c r="I11" s="39">
        <v>-112.62775000000001</v>
      </c>
      <c r="J11" s="1" t="s">
        <v>198</v>
      </c>
      <c r="K11" s="40">
        <v>0.09</v>
      </c>
      <c r="L11" s="36" t="s">
        <v>426</v>
      </c>
      <c r="M11" s="1" t="s">
        <v>1169</v>
      </c>
      <c r="N11" s="36" t="s">
        <v>1152</v>
      </c>
      <c r="O11" s="41">
        <v>20</v>
      </c>
      <c r="P11" s="36">
        <v>1</v>
      </c>
      <c r="Q11" s="42">
        <v>6500000</v>
      </c>
      <c r="R11" s="43">
        <v>5491951</v>
      </c>
      <c r="S11" s="43">
        <v>0</v>
      </c>
      <c r="T11" s="42">
        <v>0</v>
      </c>
      <c r="U11" s="53">
        <v>0</v>
      </c>
      <c r="V11" s="45">
        <v>0</v>
      </c>
      <c r="AC11" s="1" t="s">
        <v>1624</v>
      </c>
      <c r="AD11" s="1" t="s">
        <v>2242</v>
      </c>
      <c r="AE11" s="1" t="s">
        <v>1643</v>
      </c>
      <c r="AF11" s="1" t="s">
        <v>799</v>
      </c>
      <c r="AG11" s="1" t="s">
        <v>478</v>
      </c>
      <c r="AH11" s="36">
        <v>83707</v>
      </c>
      <c r="AI11" s="47" t="s">
        <v>2244</v>
      </c>
      <c r="AJ11" s="48">
        <v>9862176594</v>
      </c>
      <c r="AK11" s="1" t="s">
        <v>2265</v>
      </c>
      <c r="AL11" s="1" t="s">
        <v>2177</v>
      </c>
      <c r="AM11" s="1" t="s">
        <v>2266</v>
      </c>
      <c r="AN11" s="1" t="s">
        <v>1040</v>
      </c>
      <c r="AO11" s="1" t="s">
        <v>472</v>
      </c>
      <c r="AP11" s="1">
        <v>59725</v>
      </c>
      <c r="AQ11" s="36" t="s">
        <v>2094</v>
      </c>
      <c r="AR11" s="54" t="s">
        <v>2267</v>
      </c>
      <c r="AS11" s="49" t="s">
        <v>2180</v>
      </c>
      <c r="AT11" s="50">
        <v>62</v>
      </c>
      <c r="AU11" s="35">
        <v>20</v>
      </c>
      <c r="AX11" s="1">
        <v>20</v>
      </c>
      <c r="BF11" s="36" t="s">
        <v>2005</v>
      </c>
      <c r="BH11" s="36">
        <v>2</v>
      </c>
      <c r="BJ11" s="36">
        <v>12</v>
      </c>
      <c r="BK11" s="36">
        <v>6</v>
      </c>
      <c r="BP11" s="1">
        <f t="shared" si="0"/>
        <v>20</v>
      </c>
      <c r="BQ11" s="51">
        <f t="shared" si="3"/>
        <v>0.51</v>
      </c>
      <c r="BR11" s="52">
        <v>6561537</v>
      </c>
      <c r="BS11" s="52" t="e">
        <f>VLOOKUP(M11,#REF!,2,TRUE)*(BR11/1000000)</f>
        <v>#REF!</v>
      </c>
      <c r="BT11" s="43" t="e">
        <f>VLOOKUP(M11,#REF!,3,TRUE)*(BR11/1000000)</f>
        <v>#REF!</v>
      </c>
    </row>
    <row r="12" spans="1:72" ht="12.75" customHeight="1" x14ac:dyDescent="0.25">
      <c r="A12" s="6">
        <v>45643</v>
      </c>
      <c r="B12" s="35">
        <v>2024</v>
      </c>
      <c r="C12" s="36" t="s">
        <v>1014</v>
      </c>
      <c r="D12" s="1" t="s">
        <v>1784</v>
      </c>
      <c r="E12" s="1" t="s">
        <v>2278</v>
      </c>
      <c r="F12" s="1" t="s">
        <v>2279</v>
      </c>
      <c r="G12" s="38">
        <v>59102</v>
      </c>
      <c r="H12" s="39">
        <v>45.78783</v>
      </c>
      <c r="I12" s="39">
        <v>-108.60587</v>
      </c>
      <c r="J12" s="1" t="s">
        <v>300</v>
      </c>
      <c r="K12" s="40">
        <v>0.04</v>
      </c>
      <c r="L12" s="36" t="s">
        <v>1154</v>
      </c>
      <c r="M12" s="1" t="s">
        <v>1169</v>
      </c>
      <c r="N12" s="36" t="s">
        <v>45</v>
      </c>
      <c r="O12" s="41">
        <v>156</v>
      </c>
      <c r="P12" s="36">
        <v>2</v>
      </c>
      <c r="Q12" s="42">
        <v>16956070</v>
      </c>
      <c r="R12" s="43">
        <v>14072131</v>
      </c>
      <c r="S12" s="43">
        <v>27155000</v>
      </c>
      <c r="T12" s="42">
        <v>25080000</v>
      </c>
      <c r="U12" s="53">
        <v>5.8599999999999999E-2</v>
      </c>
      <c r="V12" s="45">
        <v>40</v>
      </c>
      <c r="AC12" s="1" t="s">
        <v>2280</v>
      </c>
      <c r="AD12" s="1" t="s">
        <v>2281</v>
      </c>
      <c r="AE12" s="1" t="s">
        <v>2282</v>
      </c>
      <c r="AF12" s="1" t="s">
        <v>2283</v>
      </c>
      <c r="AG12" s="1" t="s">
        <v>2284</v>
      </c>
      <c r="AH12" s="36">
        <v>84321</v>
      </c>
      <c r="AI12" s="47" t="s">
        <v>2285</v>
      </c>
      <c r="AJ12" s="48">
        <v>9492579062</v>
      </c>
      <c r="AK12" s="1" t="s">
        <v>2060</v>
      </c>
      <c r="AL12" s="1" t="s">
        <v>2061</v>
      </c>
      <c r="AM12" s="1" t="s">
        <v>2062</v>
      </c>
      <c r="AN12" s="1" t="s">
        <v>192</v>
      </c>
      <c r="AO12" s="1" t="s">
        <v>472</v>
      </c>
      <c r="AP12" s="1">
        <v>59105</v>
      </c>
      <c r="AQ12" s="36">
        <v>60</v>
      </c>
      <c r="AR12" s="54" t="s">
        <v>2063</v>
      </c>
      <c r="AS12" s="49">
        <v>4066578296</v>
      </c>
      <c r="AT12" s="50">
        <v>1000</v>
      </c>
      <c r="AU12" s="35">
        <f t="shared" ref="AU12:AU13" si="4">SUM(AV12:BE12)</f>
        <v>156</v>
      </c>
      <c r="AX12" s="1">
        <v>50</v>
      </c>
      <c r="AY12" s="1">
        <v>72</v>
      </c>
      <c r="AZ12" s="1">
        <v>34</v>
      </c>
      <c r="BF12" s="36" t="s">
        <v>2005</v>
      </c>
      <c r="BK12" s="36">
        <v>156</v>
      </c>
      <c r="BP12" s="1">
        <f t="shared" ref="BP12" si="5">SUM(BH12:BO12)</f>
        <v>156</v>
      </c>
      <c r="BQ12" s="51">
        <f>((BH12*BH$1)+(BI12*BI$1)+(BJ12*BJ$1)+(BK12*BK$1)+(BL12*BL$1)+(BM12*BM$1))/SUM(BH12:BM12)</f>
        <v>0.6</v>
      </c>
      <c r="BR12" s="52">
        <v>45384541</v>
      </c>
      <c r="BS12" s="52" t="e">
        <f>VLOOKUP(M12,#REF!,2,TRUE)*(BR12/1000000)</f>
        <v>#REF!</v>
      </c>
      <c r="BT12" s="43" t="e">
        <f>VLOOKUP(M12,#REF!,3,TRUE)*(BR12/1000000)</f>
        <v>#REF!</v>
      </c>
    </row>
    <row r="13" spans="1:72" x14ac:dyDescent="0.25">
      <c r="A13" s="6">
        <v>45645</v>
      </c>
      <c r="B13" s="35">
        <v>2024</v>
      </c>
      <c r="C13" s="36" t="s">
        <v>1014</v>
      </c>
      <c r="D13" s="1" t="s">
        <v>2098</v>
      </c>
      <c r="E13" s="1" t="s">
        <v>2171</v>
      </c>
      <c r="F13" s="1" t="s">
        <v>912</v>
      </c>
      <c r="G13" s="38">
        <v>59840</v>
      </c>
      <c r="H13" s="39">
        <v>46.249859999999998</v>
      </c>
      <c r="I13" s="39">
        <v>-114.17032</v>
      </c>
      <c r="J13" s="1" t="s">
        <v>356</v>
      </c>
      <c r="K13" s="40">
        <v>0.04</v>
      </c>
      <c r="L13" s="36" t="s">
        <v>426</v>
      </c>
      <c r="M13" s="1" t="s">
        <v>307</v>
      </c>
      <c r="N13" s="36" t="s">
        <v>1152</v>
      </c>
      <c r="O13" s="41">
        <v>60</v>
      </c>
      <c r="P13" s="36">
        <v>1</v>
      </c>
      <c r="Q13" s="42">
        <v>3969300</v>
      </c>
      <c r="R13" s="43">
        <v>3413262</v>
      </c>
      <c r="S13" s="43">
        <v>7000000</v>
      </c>
      <c r="T13" s="42">
        <v>3450000</v>
      </c>
      <c r="U13" s="53">
        <v>7.7499999999999999E-2</v>
      </c>
      <c r="V13" s="45">
        <v>16</v>
      </c>
      <c r="AC13" s="1" t="s">
        <v>2104</v>
      </c>
      <c r="AD13" s="1" t="s">
        <v>2106</v>
      </c>
      <c r="AE13" s="1" t="s">
        <v>2225</v>
      </c>
      <c r="AF13" s="1" t="s">
        <v>912</v>
      </c>
      <c r="AG13" s="1" t="s">
        <v>472</v>
      </c>
      <c r="AH13" s="36">
        <v>59840</v>
      </c>
      <c r="AI13" s="47" t="s">
        <v>2105</v>
      </c>
      <c r="AJ13" s="48">
        <v>4063632800</v>
      </c>
      <c r="AK13" s="1" t="s">
        <v>2107</v>
      </c>
      <c r="AL13" s="1" t="s">
        <v>2108</v>
      </c>
      <c r="AM13" s="1" t="s">
        <v>2109</v>
      </c>
      <c r="AN13" s="1" t="s">
        <v>2110</v>
      </c>
      <c r="AO13" s="1" t="s">
        <v>472</v>
      </c>
      <c r="AP13" s="1">
        <v>59840</v>
      </c>
      <c r="AQ13" s="36" t="s">
        <v>2094</v>
      </c>
      <c r="AR13" s="55" t="s">
        <v>2111</v>
      </c>
      <c r="AS13" s="49">
        <v>4063632101</v>
      </c>
      <c r="AT13" s="50">
        <v>195</v>
      </c>
      <c r="AU13" s="35">
        <f t="shared" si="4"/>
        <v>60</v>
      </c>
      <c r="AX13" s="1">
        <v>42</v>
      </c>
      <c r="AY13" s="1">
        <v>18</v>
      </c>
      <c r="BF13" s="36" t="s">
        <v>1756</v>
      </c>
      <c r="BH13" s="36">
        <v>9</v>
      </c>
      <c r="BJ13" s="36">
        <v>21</v>
      </c>
      <c r="BK13" s="36">
        <v>30</v>
      </c>
      <c r="BP13" s="1">
        <f t="shared" ref="BP13" si="6">SUM(BH13:BO13)</f>
        <v>60</v>
      </c>
      <c r="BQ13" s="51">
        <f>((BH13*BH$1)+(BI13*BI$1)+(BJ13*BJ$1)+(BK13*BK$1)+(BL13*BL$1)+(BM13*BM$1))/SUM(BH13:BM13)</f>
        <v>0.52</v>
      </c>
      <c r="BR13" s="52">
        <v>12106976</v>
      </c>
      <c r="BS13" s="52" t="e">
        <f>VLOOKUP(M13,#REF!,2,TRUE)*(BR13/1000000)</f>
        <v>#REF!</v>
      </c>
      <c r="BT13" s="43" t="e">
        <f>VLOOKUP(M13,#REF!,3,TRUE)*(BR13/1000000)</f>
        <v>#REF!</v>
      </c>
    </row>
    <row r="14" spans="1:72" ht="30" x14ac:dyDescent="0.25">
      <c r="A14" s="6">
        <v>45534</v>
      </c>
      <c r="B14" s="36">
        <v>2024</v>
      </c>
      <c r="C14" s="36" t="s">
        <v>1014</v>
      </c>
      <c r="D14" s="10" t="s">
        <v>2287</v>
      </c>
      <c r="E14" s="1" t="s">
        <v>134</v>
      </c>
      <c r="F14" s="1" t="s">
        <v>911</v>
      </c>
      <c r="G14" s="38">
        <v>59911</v>
      </c>
      <c r="H14" s="39">
        <v>48.069420000000001</v>
      </c>
      <c r="I14" s="39">
        <v>-114.0818</v>
      </c>
      <c r="J14" s="1" t="s">
        <v>343</v>
      </c>
      <c r="K14" s="40">
        <v>0.04</v>
      </c>
      <c r="L14" s="36" t="s">
        <v>1154</v>
      </c>
      <c r="M14" s="1" t="s">
        <v>307</v>
      </c>
      <c r="N14" s="36" t="s">
        <v>45</v>
      </c>
      <c r="O14" s="41">
        <v>24</v>
      </c>
      <c r="P14" s="36">
        <v>5</v>
      </c>
      <c r="Q14" s="42">
        <v>2614040</v>
      </c>
      <c r="R14" s="42">
        <v>2195754</v>
      </c>
      <c r="S14" s="42">
        <v>3100000</v>
      </c>
      <c r="T14" s="42">
        <v>1600000</v>
      </c>
      <c r="U14" s="53">
        <v>6.25E-2</v>
      </c>
      <c r="V14" s="45">
        <v>20</v>
      </c>
      <c r="AC14" s="1" t="s">
        <v>2159</v>
      </c>
      <c r="AD14" s="1" t="s">
        <v>1631</v>
      </c>
      <c r="AE14" s="1" t="s">
        <v>1630</v>
      </c>
      <c r="AF14" s="1" t="s">
        <v>46</v>
      </c>
      <c r="AG14" s="1" t="s">
        <v>472</v>
      </c>
      <c r="AH14" s="36">
        <v>59901</v>
      </c>
      <c r="AI14" s="47" t="s">
        <v>1632</v>
      </c>
      <c r="AJ14" s="48">
        <v>4062356593</v>
      </c>
      <c r="AK14" s="1" t="s">
        <v>2163</v>
      </c>
      <c r="AL14" s="1" t="s">
        <v>2164</v>
      </c>
      <c r="AM14" s="1" t="s">
        <v>2165</v>
      </c>
      <c r="AN14" s="1" t="s">
        <v>46</v>
      </c>
      <c r="AO14" s="1" t="s">
        <v>472</v>
      </c>
      <c r="AP14" s="1">
        <v>59901</v>
      </c>
      <c r="AQ14" s="36" t="s">
        <v>2167</v>
      </c>
      <c r="AR14" s="55" t="s">
        <v>2166</v>
      </c>
      <c r="AS14" s="49">
        <v>4067585503</v>
      </c>
      <c r="AT14" s="56">
        <v>522</v>
      </c>
      <c r="AU14" s="35">
        <f t="shared" ref="AU14" si="7">SUM(AV14:BE14)</f>
        <v>24</v>
      </c>
      <c r="AX14" s="1">
        <v>16</v>
      </c>
      <c r="AY14" s="1">
        <v>8</v>
      </c>
      <c r="BF14" s="36" t="s">
        <v>2005</v>
      </c>
      <c r="BH14" s="36">
        <v>4</v>
      </c>
      <c r="BK14" s="36">
        <v>20</v>
      </c>
      <c r="BP14" s="1">
        <f>SUM(BG14:BO14)</f>
        <v>24</v>
      </c>
      <c r="BQ14" s="51">
        <f>((BH14*BH$1)+(BI14*BI$1)+(BJ14*BJ$1)+(BK14*BK$1)+(BL14*BL$1)+(BM14*BM$1))/SUM(BH14:BM14)</f>
        <v>0.54999999999999993</v>
      </c>
      <c r="BR14" s="52">
        <v>6208908</v>
      </c>
      <c r="BS14" s="52" t="e">
        <f>VLOOKUP(M14,#REF!,2,TRUE)*(BR14/1000000)</f>
        <v>#REF!</v>
      </c>
      <c r="BT14" s="43" t="e">
        <f>VLOOKUP(M14,#REF!,3,TRUE)*(BR14/1000000)</f>
        <v>#REF!</v>
      </c>
    </row>
    <row r="15" spans="1:72" x14ac:dyDescent="0.25">
      <c r="A15" s="6">
        <v>45222</v>
      </c>
      <c r="B15" s="35">
        <v>2024</v>
      </c>
      <c r="C15" s="36" t="s">
        <v>1014</v>
      </c>
      <c r="D15" s="37" t="s">
        <v>2299</v>
      </c>
      <c r="E15" s="1" t="s">
        <v>2122</v>
      </c>
      <c r="F15" s="37" t="s">
        <v>65</v>
      </c>
      <c r="G15" s="38">
        <v>59401</v>
      </c>
      <c r="H15" s="39">
        <v>47.504930000000002</v>
      </c>
      <c r="I15" s="39">
        <v>-111.2975</v>
      </c>
      <c r="J15" s="37" t="s">
        <v>308</v>
      </c>
      <c r="K15" s="57">
        <v>0.09</v>
      </c>
      <c r="L15" s="58" t="s">
        <v>426</v>
      </c>
      <c r="M15" s="1" t="s">
        <v>307</v>
      </c>
      <c r="N15" s="59" t="s">
        <v>45</v>
      </c>
      <c r="O15" s="41">
        <v>60</v>
      </c>
      <c r="P15" s="36">
        <v>1</v>
      </c>
      <c r="Q15" s="42">
        <v>6500000</v>
      </c>
      <c r="R15" s="43">
        <v>5621937</v>
      </c>
      <c r="S15" s="43"/>
      <c r="T15" s="42"/>
      <c r="U15" s="44">
        <v>4.0524999999999999E-2</v>
      </c>
      <c r="V15" s="45">
        <v>30</v>
      </c>
      <c r="AC15" s="1" t="s">
        <v>2087</v>
      </c>
      <c r="AD15" s="1" t="s">
        <v>2123</v>
      </c>
      <c r="AE15" s="1" t="s">
        <v>2069</v>
      </c>
      <c r="AF15" s="1" t="s">
        <v>1998</v>
      </c>
      <c r="AG15" s="1" t="s">
        <v>475</v>
      </c>
      <c r="AH15" s="36">
        <v>92614</v>
      </c>
      <c r="AI15" s="47" t="s">
        <v>2124</v>
      </c>
      <c r="AJ15" s="48">
        <v>2099814595</v>
      </c>
      <c r="AK15" s="1" t="s">
        <v>2125</v>
      </c>
      <c r="AL15" s="1" t="s">
        <v>2022</v>
      </c>
      <c r="AM15" s="1" t="s">
        <v>2023</v>
      </c>
      <c r="AN15" s="1" t="s">
        <v>65</v>
      </c>
      <c r="AO15" s="1" t="s">
        <v>472</v>
      </c>
      <c r="AP15" s="1">
        <v>59403</v>
      </c>
      <c r="AQ15" s="36">
        <v>50</v>
      </c>
      <c r="AR15" s="60" t="s">
        <v>2126</v>
      </c>
      <c r="AS15" s="49">
        <v>4068700212</v>
      </c>
      <c r="AT15" s="50">
        <v>676</v>
      </c>
      <c r="AU15" s="35">
        <f t="shared" ref="AU15:AU21" si="8">SUM(AV15:BE15)</f>
        <v>60</v>
      </c>
      <c r="AX15" s="1">
        <v>29</v>
      </c>
      <c r="AY15" s="1">
        <v>30</v>
      </c>
      <c r="BE15" s="1">
        <v>1</v>
      </c>
      <c r="BF15" s="36" t="s">
        <v>1756</v>
      </c>
      <c r="BI15" s="36">
        <v>59</v>
      </c>
      <c r="BO15" s="1">
        <v>1</v>
      </c>
      <c r="BP15" s="1">
        <f t="shared" ref="BP15:BP21" si="9">SUM(BH15:BO15)</f>
        <v>60</v>
      </c>
      <c r="BQ15" s="51">
        <f t="shared" ref="BQ15:BQ21" si="10">((BH15*BH$1)+(BI15*BI$1)+(BJ15*BJ$1)+(BK15*BK$1)+(BL15*BL$1)+(BM15*BM$1))/SUM(BH15:BM15)</f>
        <v>0.4</v>
      </c>
      <c r="BR15" s="52">
        <v>12459340</v>
      </c>
      <c r="BS15" s="52" t="e">
        <f>VLOOKUP(M15,#REF!,2,TRUE)*(BR15/1000000)</f>
        <v>#REF!</v>
      </c>
      <c r="BT15" s="43" t="e">
        <f>VLOOKUP(M15,#REF!,3,TRUE)*(BR15/1000000)</f>
        <v>#REF!</v>
      </c>
    </row>
    <row r="16" spans="1:72" x14ac:dyDescent="0.25">
      <c r="A16" s="6">
        <v>45222</v>
      </c>
      <c r="B16" s="35">
        <v>2024</v>
      </c>
      <c r="C16" s="36" t="s">
        <v>1014</v>
      </c>
      <c r="D16" s="37" t="s">
        <v>2277</v>
      </c>
      <c r="E16" s="1" t="s">
        <v>2136</v>
      </c>
      <c r="F16" s="1" t="s">
        <v>195</v>
      </c>
      <c r="G16" s="38">
        <v>59715</v>
      </c>
      <c r="H16" s="39">
        <v>45.68694</v>
      </c>
      <c r="I16" s="39">
        <v>-111.04581</v>
      </c>
      <c r="J16" s="1" t="s">
        <v>314</v>
      </c>
      <c r="K16" s="40">
        <v>0.09</v>
      </c>
      <c r="L16" s="36" t="s">
        <v>1154</v>
      </c>
      <c r="M16" s="1" t="s">
        <v>1169</v>
      </c>
      <c r="N16" s="36" t="s">
        <v>45</v>
      </c>
      <c r="O16" s="41">
        <v>23</v>
      </c>
      <c r="P16" s="36">
        <v>1</v>
      </c>
      <c r="Q16" s="42">
        <v>6350000</v>
      </c>
      <c r="R16" s="43">
        <v>5670000</v>
      </c>
      <c r="S16" s="43">
        <v>0</v>
      </c>
      <c r="T16" s="42">
        <v>0</v>
      </c>
      <c r="U16" s="44">
        <v>0</v>
      </c>
      <c r="AC16" s="1" t="s">
        <v>1781</v>
      </c>
      <c r="AD16" s="1" t="s">
        <v>1793</v>
      </c>
      <c r="AE16" s="1" t="s">
        <v>2137</v>
      </c>
      <c r="AF16" s="1" t="s">
        <v>195</v>
      </c>
      <c r="AG16" s="1" t="s">
        <v>472</v>
      </c>
      <c r="AH16" s="36">
        <v>59771</v>
      </c>
      <c r="AI16" s="47" t="s">
        <v>1800</v>
      </c>
      <c r="AJ16" s="48">
        <v>5037849411</v>
      </c>
      <c r="AK16" s="1" t="s">
        <v>2138</v>
      </c>
      <c r="AL16" s="1" t="s">
        <v>2047</v>
      </c>
      <c r="AM16" s="1" t="s">
        <v>2048</v>
      </c>
      <c r="AN16" s="1" t="s">
        <v>195</v>
      </c>
      <c r="AO16" s="1" t="s">
        <v>472</v>
      </c>
      <c r="AP16" s="1">
        <v>59715</v>
      </c>
      <c r="AQ16" s="36" t="s">
        <v>2095</v>
      </c>
      <c r="AR16" s="36"/>
      <c r="AS16" s="49">
        <v>4065822383</v>
      </c>
      <c r="AT16" s="50">
        <v>1688</v>
      </c>
      <c r="AU16" s="35">
        <f t="shared" si="8"/>
        <v>23</v>
      </c>
      <c r="AX16" s="1">
        <v>14</v>
      </c>
      <c r="AY16" s="1">
        <v>5</v>
      </c>
      <c r="AZ16" s="1">
        <v>4</v>
      </c>
      <c r="BF16" s="36" t="s">
        <v>1868</v>
      </c>
      <c r="BJ16" s="36">
        <v>17</v>
      </c>
      <c r="BK16" s="36">
        <v>6</v>
      </c>
      <c r="BP16" s="1">
        <f t="shared" si="9"/>
        <v>23</v>
      </c>
      <c r="BQ16" s="51">
        <f t="shared" si="10"/>
        <v>0.52608695652173909</v>
      </c>
      <c r="BR16" s="52">
        <v>6670000</v>
      </c>
      <c r="BS16" s="52" t="e">
        <f>VLOOKUP(M16,#REF!,2,TRUE)*(BR16/1000000)</f>
        <v>#REF!</v>
      </c>
      <c r="BT16" s="43" t="e">
        <f>VLOOKUP(M16,#REF!,3,TRUE)*(BR16/1000000)</f>
        <v>#REF!</v>
      </c>
    </row>
    <row r="17" spans="1:72" x14ac:dyDescent="0.25">
      <c r="A17" s="6" t="s">
        <v>2286</v>
      </c>
      <c r="B17" s="35">
        <v>2025</v>
      </c>
      <c r="C17" s="36" t="s">
        <v>1014</v>
      </c>
      <c r="D17" s="37" t="s">
        <v>2276</v>
      </c>
      <c r="E17" s="1" t="s">
        <v>2136</v>
      </c>
      <c r="F17" s="1" t="s">
        <v>195</v>
      </c>
      <c r="G17" s="38">
        <v>59715</v>
      </c>
      <c r="H17" s="39">
        <v>45.68694</v>
      </c>
      <c r="I17" s="39">
        <v>-111.04581</v>
      </c>
      <c r="J17" s="1" t="s">
        <v>314</v>
      </c>
      <c r="K17" s="40">
        <v>0.04</v>
      </c>
      <c r="L17" s="36" t="s">
        <v>1154</v>
      </c>
      <c r="M17" s="1" t="s">
        <v>1169</v>
      </c>
      <c r="N17" s="36" t="s">
        <v>45</v>
      </c>
      <c r="O17" s="41">
        <v>17</v>
      </c>
      <c r="P17" s="36">
        <v>1</v>
      </c>
      <c r="Q17" s="42">
        <v>2097880</v>
      </c>
      <c r="R17" s="43">
        <v>1890000</v>
      </c>
      <c r="S17" s="43"/>
      <c r="T17" s="42"/>
      <c r="U17" s="44"/>
      <c r="AC17" s="1" t="s">
        <v>1781</v>
      </c>
      <c r="AD17" s="1" t="s">
        <v>1793</v>
      </c>
      <c r="AE17" s="1" t="s">
        <v>2137</v>
      </c>
      <c r="AF17" s="1" t="s">
        <v>195</v>
      </c>
      <c r="AG17" s="1" t="s">
        <v>472</v>
      </c>
      <c r="AH17" s="36">
        <v>59771</v>
      </c>
      <c r="AI17" s="47" t="s">
        <v>1800</v>
      </c>
      <c r="AJ17" s="48">
        <v>5037849411</v>
      </c>
      <c r="AK17" s="1" t="s">
        <v>2138</v>
      </c>
      <c r="AL17" s="1" t="s">
        <v>2047</v>
      </c>
      <c r="AM17" s="1" t="s">
        <v>2048</v>
      </c>
      <c r="AN17" s="1" t="s">
        <v>195</v>
      </c>
      <c r="AO17" s="1" t="s">
        <v>472</v>
      </c>
      <c r="AP17" s="1">
        <v>59715</v>
      </c>
      <c r="AQ17" s="61">
        <v>60</v>
      </c>
      <c r="AR17" s="60"/>
      <c r="AS17" s="49">
        <v>4065822383</v>
      </c>
      <c r="AT17" s="50">
        <v>1668</v>
      </c>
      <c r="AU17" s="35">
        <f>SUM(AV17:BE17)</f>
        <v>17</v>
      </c>
      <c r="AX17" s="1">
        <v>10</v>
      </c>
      <c r="AY17" s="1">
        <v>5</v>
      </c>
      <c r="AZ17" s="1">
        <v>2</v>
      </c>
      <c r="BF17" s="36" t="s">
        <v>1756</v>
      </c>
      <c r="BK17" s="36">
        <v>17</v>
      </c>
      <c r="BP17" s="1">
        <f>SUM(BH17:BO17)</f>
        <v>17</v>
      </c>
      <c r="BQ17" s="51">
        <f>((BH17*BH$1)+(BI17*BI$1)+(BJ17*BJ$1)+(BK17*BK$1)+(BL17*BL$1)+(BM17*BM$1))/SUM(BH17:BM17)</f>
        <v>0.6</v>
      </c>
      <c r="BR17" s="52">
        <v>4930000</v>
      </c>
      <c r="BS17" s="52" t="e">
        <f>VLOOKUP(M17,#REF!,2,TRUE)*(BR17/1000000)</f>
        <v>#REF!</v>
      </c>
      <c r="BT17" s="43" t="e">
        <f>VLOOKUP(M17,#REF!,3,TRUE)*(BR17/1000000)</f>
        <v>#REF!</v>
      </c>
    </row>
    <row r="18" spans="1:72" x14ac:dyDescent="0.25">
      <c r="A18" s="6">
        <v>45283</v>
      </c>
      <c r="B18" s="35">
        <v>2024</v>
      </c>
      <c r="C18" s="36" t="s">
        <v>1014</v>
      </c>
      <c r="D18" s="1" t="s">
        <v>2077</v>
      </c>
      <c r="E18" s="1" t="s">
        <v>2275</v>
      </c>
      <c r="F18" s="1" t="s">
        <v>887</v>
      </c>
      <c r="G18" s="38">
        <v>59601</v>
      </c>
      <c r="H18" s="38">
        <v>46.588340000000002</v>
      </c>
      <c r="I18" s="39">
        <v>-111.96698000000001</v>
      </c>
      <c r="J18" s="1" t="s">
        <v>913</v>
      </c>
      <c r="K18" s="40">
        <v>0.09</v>
      </c>
      <c r="L18" s="36" t="s">
        <v>1154</v>
      </c>
      <c r="M18" s="1" t="s">
        <v>1169</v>
      </c>
      <c r="N18" s="36" t="s">
        <v>45</v>
      </c>
      <c r="O18" s="41">
        <v>20</v>
      </c>
      <c r="P18" s="36">
        <v>1</v>
      </c>
      <c r="Q18" s="42">
        <v>6500000</v>
      </c>
      <c r="R18" s="43">
        <v>5524446</v>
      </c>
      <c r="S18" s="43">
        <v>0</v>
      </c>
      <c r="T18" s="42">
        <v>0</v>
      </c>
      <c r="U18" s="44">
        <v>3.8324999999999998E-2</v>
      </c>
      <c r="V18" s="45">
        <v>16</v>
      </c>
      <c r="AC18" s="1" t="s">
        <v>2085</v>
      </c>
      <c r="AD18" s="1" t="s">
        <v>1638</v>
      </c>
      <c r="AE18" s="1" t="s">
        <v>2139</v>
      </c>
      <c r="AF18" s="1" t="s">
        <v>338</v>
      </c>
      <c r="AG18" s="1" t="s">
        <v>472</v>
      </c>
      <c r="AH18" s="36">
        <v>59801</v>
      </c>
      <c r="AI18" s="47" t="s">
        <v>2089</v>
      </c>
      <c r="AJ18" s="48">
        <v>4065314745</v>
      </c>
      <c r="AK18" s="1" t="s">
        <v>2140</v>
      </c>
      <c r="AL18" s="1" t="s">
        <v>2032</v>
      </c>
      <c r="AM18" s="1" t="s">
        <v>2036</v>
      </c>
      <c r="AN18" s="1" t="s">
        <v>887</v>
      </c>
      <c r="AO18" s="1" t="s">
        <v>472</v>
      </c>
      <c r="AP18" s="1">
        <v>59623</v>
      </c>
      <c r="AQ18" s="61">
        <v>60</v>
      </c>
      <c r="AR18" s="62" t="s">
        <v>2141</v>
      </c>
      <c r="AS18" s="49">
        <v>4064478410</v>
      </c>
      <c r="AT18" s="50">
        <v>810</v>
      </c>
      <c r="AU18" s="35">
        <f>SUM(AV18:BE18)</f>
        <v>20</v>
      </c>
      <c r="AX18" s="1">
        <v>20</v>
      </c>
      <c r="BF18" s="36" t="s">
        <v>1868</v>
      </c>
      <c r="BK18" s="36">
        <v>20</v>
      </c>
      <c r="BP18" s="1">
        <f>SUM(BH18:BO18)</f>
        <v>20</v>
      </c>
      <c r="BQ18" s="51">
        <f>((BH18*BH$1)+(BI18*BI$1)+(BJ18*BJ$1)+(BK18*BK$1)+(BL18*BL$1)+(BM18*BM$1))/SUM(BH18:BM18)</f>
        <v>0.6</v>
      </c>
      <c r="BR18" s="52">
        <v>6002691</v>
      </c>
      <c r="BS18" s="52" t="e">
        <f>VLOOKUP(M18,#REF!,2,TRUE)*(BR18/1000000)</f>
        <v>#REF!</v>
      </c>
      <c r="BT18" s="43" t="e">
        <f>VLOOKUP(M18,#REF!,3,TRUE)*(BR18/1000000)</f>
        <v>#REF!</v>
      </c>
    </row>
    <row r="19" spans="1:72" x14ac:dyDescent="0.25">
      <c r="A19" s="6">
        <v>45534</v>
      </c>
      <c r="B19" s="35">
        <v>2024</v>
      </c>
      <c r="C19" s="36" t="s">
        <v>1014</v>
      </c>
      <c r="D19" s="1" t="s">
        <v>2078</v>
      </c>
      <c r="E19" s="1" t="s">
        <v>2275</v>
      </c>
      <c r="F19" s="1" t="s">
        <v>887</v>
      </c>
      <c r="G19" s="38">
        <v>59601</v>
      </c>
      <c r="H19" s="38">
        <v>46.588340000000002</v>
      </c>
      <c r="I19" s="39">
        <v>-111.96698000000001</v>
      </c>
      <c r="J19" s="1" t="s">
        <v>913</v>
      </c>
      <c r="K19" s="40">
        <v>0.04</v>
      </c>
      <c r="L19" s="36" t="s">
        <v>1154</v>
      </c>
      <c r="M19" s="1" t="s">
        <v>1169</v>
      </c>
      <c r="N19" s="36" t="s">
        <v>45</v>
      </c>
      <c r="O19" s="41">
        <v>52</v>
      </c>
      <c r="P19" s="36">
        <v>2</v>
      </c>
      <c r="Q19" s="42">
        <v>5926220</v>
      </c>
      <c r="R19" s="43">
        <v>5036783</v>
      </c>
      <c r="S19" s="43"/>
      <c r="T19" s="42"/>
      <c r="U19" s="44">
        <v>3.8324999999999998E-2</v>
      </c>
      <c r="V19" s="45">
        <v>20</v>
      </c>
      <c r="AC19" s="1" t="s">
        <v>2085</v>
      </c>
      <c r="AD19" s="1" t="s">
        <v>1638</v>
      </c>
      <c r="AE19" s="1" t="s">
        <v>2139</v>
      </c>
      <c r="AF19" s="1" t="s">
        <v>338</v>
      </c>
      <c r="AG19" s="1" t="s">
        <v>472</v>
      </c>
      <c r="AH19" s="36">
        <v>59801</v>
      </c>
      <c r="AI19" s="47" t="s">
        <v>2089</v>
      </c>
      <c r="AJ19" s="48">
        <v>4065314745</v>
      </c>
      <c r="AK19" s="1" t="s">
        <v>2140</v>
      </c>
      <c r="AL19" s="1" t="s">
        <v>2032</v>
      </c>
      <c r="AM19" s="1" t="s">
        <v>2036</v>
      </c>
      <c r="AN19" s="1" t="s">
        <v>887</v>
      </c>
      <c r="AO19" s="1" t="s">
        <v>472</v>
      </c>
      <c r="AP19" s="1">
        <v>59623</v>
      </c>
      <c r="AQ19" s="36" t="s">
        <v>2093</v>
      </c>
      <c r="AR19" s="62" t="s">
        <v>2141</v>
      </c>
      <c r="AS19" s="49">
        <v>4064478410</v>
      </c>
      <c r="AT19" s="50">
        <v>810</v>
      </c>
      <c r="AU19" s="35">
        <f>SUM(AV19:BE19)</f>
        <v>52</v>
      </c>
      <c r="AX19" s="1">
        <v>24</v>
      </c>
      <c r="AY19" s="1">
        <v>16</v>
      </c>
      <c r="AZ19" s="1">
        <v>12</v>
      </c>
      <c r="BF19" s="36" t="s">
        <v>1868</v>
      </c>
      <c r="BH19" s="36">
        <v>12</v>
      </c>
      <c r="BK19" s="36">
        <v>4</v>
      </c>
      <c r="BL19" s="36">
        <v>36</v>
      </c>
      <c r="BP19" s="1">
        <f>SUM(BH19:BO19)</f>
        <v>52</v>
      </c>
      <c r="BQ19" s="51">
        <f>((BH19*BH$1)+(BI19*BI$1)+(BJ19*BJ$1)+(BK19*BK$1)+(BL19*BL$1)+(BM19*BM$1))/SUM(BH19:BM19)</f>
        <v>0.6</v>
      </c>
      <c r="BR19" s="52">
        <v>16702104</v>
      </c>
      <c r="BS19" s="52" t="e">
        <f>VLOOKUP(M19,#REF!,2,TRUE)*(BR19/1000000)</f>
        <v>#REF!</v>
      </c>
      <c r="BT19" s="43" t="e">
        <f>VLOOKUP(M19,#REF!,3,TRUE)*(BR19/1000000)</f>
        <v>#REF!</v>
      </c>
    </row>
    <row r="20" spans="1:72" ht="15" customHeight="1" x14ac:dyDescent="0.25">
      <c r="A20" s="6">
        <v>45222</v>
      </c>
      <c r="B20" s="36">
        <v>2024</v>
      </c>
      <c r="C20" s="36" t="s">
        <v>1014</v>
      </c>
      <c r="D20" s="1" t="s">
        <v>2079</v>
      </c>
      <c r="E20" s="1" t="s">
        <v>2142</v>
      </c>
      <c r="F20" s="1" t="s">
        <v>192</v>
      </c>
      <c r="G20" s="38">
        <v>59101</v>
      </c>
      <c r="H20" s="39">
        <v>45.761710000000001</v>
      </c>
      <c r="I20" s="39">
        <v>-108.51721000000001</v>
      </c>
      <c r="J20" s="1" t="s">
        <v>300</v>
      </c>
      <c r="K20" s="40">
        <v>0.09</v>
      </c>
      <c r="L20" s="36" t="s">
        <v>1154</v>
      </c>
      <c r="M20" s="1" t="s">
        <v>1169</v>
      </c>
      <c r="N20" s="36" t="s">
        <v>45</v>
      </c>
      <c r="O20" s="41">
        <v>32</v>
      </c>
      <c r="P20" s="36">
        <v>5</v>
      </c>
      <c r="Q20" s="42">
        <v>6500000</v>
      </c>
      <c r="R20" s="42">
        <v>5394461</v>
      </c>
      <c r="S20" s="42"/>
      <c r="T20" s="42"/>
      <c r="U20" s="44">
        <v>3.8324999999999998E-2</v>
      </c>
      <c r="V20" s="45">
        <v>20</v>
      </c>
      <c r="AC20" s="1" t="s">
        <v>1699</v>
      </c>
      <c r="AD20" s="1" t="s">
        <v>976</v>
      </c>
      <c r="AE20" s="1" t="s">
        <v>2143</v>
      </c>
      <c r="AF20" s="1" t="s">
        <v>887</v>
      </c>
      <c r="AG20" s="1" t="s">
        <v>472</v>
      </c>
      <c r="AH20" s="36">
        <v>59601</v>
      </c>
      <c r="AI20" s="47" t="s">
        <v>1636</v>
      </c>
      <c r="AJ20" s="48">
        <v>4064595332</v>
      </c>
      <c r="AK20" s="1" t="s">
        <v>2060</v>
      </c>
      <c r="AL20" s="1" t="s">
        <v>2061</v>
      </c>
      <c r="AM20" s="1" t="s">
        <v>2062</v>
      </c>
      <c r="AN20" s="1" t="s">
        <v>192</v>
      </c>
      <c r="AO20" s="1" t="s">
        <v>472</v>
      </c>
      <c r="AP20" s="1">
        <v>59103</v>
      </c>
      <c r="AQ20" s="63" t="s">
        <v>2095</v>
      </c>
      <c r="AR20" s="62" t="s">
        <v>2063</v>
      </c>
      <c r="AS20" s="49">
        <v>4066578433</v>
      </c>
      <c r="AT20" s="56">
        <v>1131</v>
      </c>
      <c r="AU20" s="35">
        <f>SUM(AV20:BE20)</f>
        <v>32</v>
      </c>
      <c r="AX20" s="1">
        <v>14</v>
      </c>
      <c r="AY20" s="1">
        <v>14</v>
      </c>
      <c r="AZ20" s="1">
        <v>4</v>
      </c>
      <c r="BF20" s="36" t="s">
        <v>1756</v>
      </c>
      <c r="BJ20" s="36">
        <v>23</v>
      </c>
      <c r="BK20" s="36">
        <v>9</v>
      </c>
      <c r="BP20" s="1">
        <f>SUM(BH20:BO20)</f>
        <v>32</v>
      </c>
      <c r="BQ20" s="51">
        <f>((BH20*BH$1)+(BI20*BI$1)+(BJ20*BJ$1)+(BK20*BK$1)+(BL20*BL$1)+(BM20*BM$1))/SUM(BH20:BM20)</f>
        <v>0.52812499999999996</v>
      </c>
      <c r="BR20" s="52">
        <v>11176278</v>
      </c>
      <c r="BS20" s="52" t="e">
        <f>VLOOKUP(M20,#REF!,2,TRUE)*(BR20/1000000)</f>
        <v>#REF!</v>
      </c>
      <c r="BT20" s="43" t="e">
        <f>VLOOKUP(M20,#REF!,3,TRUE)*(BR20/1000000)</f>
        <v>#REF!</v>
      </c>
    </row>
    <row r="21" spans="1:72" x14ac:dyDescent="0.25">
      <c r="A21" s="6">
        <v>45222</v>
      </c>
      <c r="B21" s="35">
        <v>2024</v>
      </c>
      <c r="C21" s="36" t="s">
        <v>1014</v>
      </c>
      <c r="D21" s="37" t="s">
        <v>2082</v>
      </c>
      <c r="E21" s="1" t="s">
        <v>2153</v>
      </c>
      <c r="F21" s="1" t="s">
        <v>912</v>
      </c>
      <c r="G21" s="38">
        <v>59840</v>
      </c>
      <c r="H21" s="39">
        <v>46.249830000000003</v>
      </c>
      <c r="I21" s="39">
        <v>-114.15173</v>
      </c>
      <c r="J21" s="37" t="s">
        <v>356</v>
      </c>
      <c r="K21" s="57">
        <v>0.09</v>
      </c>
      <c r="L21" s="58" t="s">
        <v>1154</v>
      </c>
      <c r="M21" s="1" t="s">
        <v>1169</v>
      </c>
      <c r="N21" s="59" t="s">
        <v>1152</v>
      </c>
      <c r="O21" s="41">
        <v>23</v>
      </c>
      <c r="P21" s="35">
        <v>1</v>
      </c>
      <c r="Q21" s="42">
        <v>6500000</v>
      </c>
      <c r="R21" s="43">
        <v>5426957</v>
      </c>
      <c r="S21" s="43"/>
      <c r="T21" s="42"/>
      <c r="U21" s="44">
        <v>3.8324999999999998E-2</v>
      </c>
      <c r="V21" s="45">
        <v>16</v>
      </c>
      <c r="AC21" s="1" t="s">
        <v>2084</v>
      </c>
      <c r="AD21" s="1" t="s">
        <v>844</v>
      </c>
      <c r="AE21" s="1" t="s">
        <v>929</v>
      </c>
      <c r="AF21" s="1" t="s">
        <v>338</v>
      </c>
      <c r="AG21" s="1" t="s">
        <v>472</v>
      </c>
      <c r="AH21" s="36">
        <v>59806</v>
      </c>
      <c r="AI21" s="47" t="s">
        <v>1213</v>
      </c>
      <c r="AJ21" s="48">
        <v>4062031558</v>
      </c>
      <c r="AK21" s="1" t="s">
        <v>2107</v>
      </c>
      <c r="AL21" s="1" t="s">
        <v>2108</v>
      </c>
      <c r="AM21" s="1" t="s">
        <v>2109</v>
      </c>
      <c r="AN21" s="1" t="s">
        <v>912</v>
      </c>
      <c r="AO21" s="1" t="s">
        <v>472</v>
      </c>
      <c r="AP21" s="1">
        <v>59840</v>
      </c>
      <c r="AQ21" s="36" t="s">
        <v>2092</v>
      </c>
      <c r="AR21" s="60" t="s">
        <v>2111</v>
      </c>
      <c r="AS21" s="49">
        <v>4063632101</v>
      </c>
      <c r="AT21" s="50">
        <v>148</v>
      </c>
      <c r="AU21" s="35">
        <f t="shared" si="8"/>
        <v>23</v>
      </c>
      <c r="AX21" s="1">
        <v>16</v>
      </c>
      <c r="AY21" s="1">
        <v>6</v>
      </c>
      <c r="BE21" s="1">
        <v>1</v>
      </c>
      <c r="BF21" s="36" t="s">
        <v>1756</v>
      </c>
      <c r="BI21" s="36">
        <v>3</v>
      </c>
      <c r="BJ21" s="36">
        <v>11</v>
      </c>
      <c r="BK21" s="36">
        <v>8</v>
      </c>
      <c r="BO21" s="1">
        <v>1</v>
      </c>
      <c r="BP21" s="1">
        <f t="shared" si="9"/>
        <v>23</v>
      </c>
      <c r="BQ21" s="51">
        <f t="shared" si="10"/>
        <v>0.52272727272727271</v>
      </c>
      <c r="BR21" s="52">
        <v>6979519</v>
      </c>
      <c r="BS21" s="52" t="e">
        <f>VLOOKUP(M21,#REF!,2,TRUE)*(BR21/1000000)</f>
        <v>#REF!</v>
      </c>
      <c r="BT21" s="43" t="e">
        <f>VLOOKUP(M21,#REF!,3,TRUE)*(BR21/1000000)</f>
        <v>#REF!</v>
      </c>
    </row>
    <row r="22" spans="1:72" x14ac:dyDescent="0.25">
      <c r="A22" s="6">
        <v>45247</v>
      </c>
      <c r="B22" s="35">
        <v>2023</v>
      </c>
      <c r="C22" s="36" t="s">
        <v>1014</v>
      </c>
      <c r="D22" s="1" t="s">
        <v>1522</v>
      </c>
      <c r="E22" s="1" t="s">
        <v>2170</v>
      </c>
      <c r="F22" s="1" t="s">
        <v>195</v>
      </c>
      <c r="G22" s="38">
        <v>59718</v>
      </c>
      <c r="H22" s="39">
        <v>45.699049044332298</v>
      </c>
      <c r="I22" s="39">
        <v>-111.07155540269601</v>
      </c>
      <c r="J22" s="1" t="s">
        <v>314</v>
      </c>
      <c r="K22" s="40">
        <v>0.04</v>
      </c>
      <c r="L22" s="36" t="s">
        <v>1154</v>
      </c>
      <c r="M22" s="1" t="s">
        <v>307</v>
      </c>
      <c r="N22" s="36" t="s">
        <v>45</v>
      </c>
      <c r="O22" s="41">
        <v>50</v>
      </c>
      <c r="P22" s="36">
        <v>5</v>
      </c>
      <c r="Q22" s="42">
        <v>4693710</v>
      </c>
      <c r="R22" s="43">
        <v>4228735</v>
      </c>
      <c r="S22" s="43">
        <v>7300000</v>
      </c>
      <c r="T22" s="42">
        <v>550000</v>
      </c>
      <c r="U22" s="44">
        <v>6.0999999999999999E-2</v>
      </c>
      <c r="V22" s="45">
        <v>15</v>
      </c>
      <c r="AC22" s="1" t="s">
        <v>1892</v>
      </c>
      <c r="AD22" s="1" t="s">
        <v>2045</v>
      </c>
      <c r="AE22" s="1" t="s">
        <v>1894</v>
      </c>
      <c r="AF22" s="1" t="s">
        <v>1895</v>
      </c>
      <c r="AG22" s="1" t="s">
        <v>474</v>
      </c>
      <c r="AH22" s="36">
        <v>98004</v>
      </c>
      <c r="AI22" s="47" t="s">
        <v>1974</v>
      </c>
      <c r="AJ22" s="48">
        <v>6122821977</v>
      </c>
      <c r="AK22" s="1" t="s">
        <v>2138</v>
      </c>
      <c r="AL22" s="1" t="s">
        <v>2047</v>
      </c>
      <c r="AM22" s="1" t="s">
        <v>2048</v>
      </c>
      <c r="AN22" s="1" t="s">
        <v>195</v>
      </c>
      <c r="AO22" s="1" t="s">
        <v>472</v>
      </c>
      <c r="AP22" s="1">
        <v>59715</v>
      </c>
      <c r="AQ22" s="36">
        <v>60</v>
      </c>
      <c r="AS22" s="49">
        <v>4065822383</v>
      </c>
      <c r="AT22" s="50">
        <v>3551</v>
      </c>
      <c r="AU22" s="35">
        <v>50</v>
      </c>
      <c r="AX22" s="1">
        <v>20</v>
      </c>
      <c r="AY22" s="1">
        <v>30</v>
      </c>
      <c r="BF22" s="36" t="s">
        <v>1756</v>
      </c>
      <c r="BK22" s="36">
        <v>50</v>
      </c>
      <c r="BP22" s="1">
        <v>50</v>
      </c>
      <c r="BQ22" s="51">
        <v>0.6</v>
      </c>
      <c r="BR22" s="52">
        <v>13942393</v>
      </c>
      <c r="BS22" s="52" t="e">
        <f>VLOOKUP(M22,#REF!,2,TRUE)*(BR22/1000000)</f>
        <v>#REF!</v>
      </c>
      <c r="BT22" s="43" t="e">
        <f>VLOOKUP(M22,#REF!,3,TRUE)*(BR22/1000000)</f>
        <v>#REF!</v>
      </c>
    </row>
    <row r="23" spans="1:72" x14ac:dyDescent="0.25">
      <c r="A23" s="6">
        <v>45245</v>
      </c>
      <c r="B23" s="35">
        <v>2023</v>
      </c>
      <c r="C23" s="36" t="s">
        <v>1014</v>
      </c>
      <c r="D23" s="1" t="s">
        <v>2097</v>
      </c>
      <c r="E23" s="1" t="s">
        <v>2160</v>
      </c>
      <c r="F23" s="1" t="s">
        <v>195</v>
      </c>
      <c r="G23" s="38">
        <v>59718</v>
      </c>
      <c r="H23" s="39">
        <v>45.686630000000001</v>
      </c>
      <c r="I23" s="39">
        <v>-111.04103000000001</v>
      </c>
      <c r="J23" s="1" t="s">
        <v>314</v>
      </c>
      <c r="K23" s="40">
        <v>0.04</v>
      </c>
      <c r="L23" s="36" t="s">
        <v>1154</v>
      </c>
      <c r="M23" s="1" t="s">
        <v>1169</v>
      </c>
      <c r="N23" s="36" t="s">
        <v>45</v>
      </c>
      <c r="O23" s="41">
        <v>216</v>
      </c>
      <c r="P23" s="36">
        <v>1</v>
      </c>
      <c r="Q23" s="42">
        <v>35558210</v>
      </c>
      <c r="R23" s="43">
        <v>31646806</v>
      </c>
      <c r="S23" s="43">
        <v>49000000</v>
      </c>
      <c r="T23" s="42">
        <v>26000000</v>
      </c>
      <c r="U23" s="53">
        <v>6.0400000000000002E-2</v>
      </c>
      <c r="V23" s="45">
        <v>30</v>
      </c>
      <c r="AC23" s="1" t="s">
        <v>1892</v>
      </c>
      <c r="AD23" s="1" t="s">
        <v>2045</v>
      </c>
      <c r="AE23" s="1" t="s">
        <v>1894</v>
      </c>
      <c r="AF23" s="1" t="s">
        <v>1895</v>
      </c>
      <c r="AG23" s="1" t="s">
        <v>474</v>
      </c>
      <c r="AH23" s="36">
        <v>98004</v>
      </c>
      <c r="AI23" s="47" t="s">
        <v>1974</v>
      </c>
      <c r="AJ23" s="48">
        <v>4257360580</v>
      </c>
      <c r="AK23" s="1" t="s">
        <v>2138</v>
      </c>
      <c r="AL23" s="1" t="s">
        <v>2047</v>
      </c>
      <c r="AM23" s="1" t="s">
        <v>2048</v>
      </c>
      <c r="AN23" s="1" t="s">
        <v>195</v>
      </c>
      <c r="AO23" s="1" t="s">
        <v>472</v>
      </c>
      <c r="AP23" s="1">
        <v>59715</v>
      </c>
      <c r="AQ23" s="36" t="s">
        <v>2161</v>
      </c>
      <c r="AR23" s="36"/>
      <c r="AS23" s="49">
        <v>4065822383</v>
      </c>
      <c r="AT23" s="50">
        <v>4952</v>
      </c>
      <c r="AU23" s="35">
        <f t="shared" ref="AU23:AU24" si="11">SUM(AV23:BE23)</f>
        <v>210</v>
      </c>
      <c r="AX23" s="1">
        <v>78</v>
      </c>
      <c r="AY23" s="1">
        <v>82</v>
      </c>
      <c r="AZ23" s="1">
        <v>43</v>
      </c>
      <c r="BA23" s="1">
        <v>7</v>
      </c>
      <c r="BF23" s="36" t="s">
        <v>1868</v>
      </c>
      <c r="BK23" s="36">
        <v>216</v>
      </c>
      <c r="BP23" s="1">
        <f t="shared" ref="BP23:BP24" si="12">SUM(BG23:BO23)</f>
        <v>216</v>
      </c>
      <c r="BQ23" s="51">
        <f t="shared" ref="BQ23:BQ27" si="13">((BH23*BH$1)+(BI23*BI$1)+(BJ23*BJ$1)+(BK23*BK$1)+(BL23*BL$1)+(BM23*BM$1))/SUM(BH23:BM23)</f>
        <v>0.6</v>
      </c>
      <c r="BR23" s="52">
        <v>73485712</v>
      </c>
      <c r="BS23" s="52" t="e">
        <f>VLOOKUP(M23,#REF!,2,TRUE)*(BR23/1000000)</f>
        <v>#REF!</v>
      </c>
      <c r="BT23" s="43" t="e">
        <f>VLOOKUP(M23,#REF!,3,TRUE)*(BR23/1000000)</f>
        <v>#REF!</v>
      </c>
    </row>
    <row r="24" spans="1:72" x14ac:dyDescent="0.25">
      <c r="A24" s="6">
        <v>45274</v>
      </c>
      <c r="B24" s="35">
        <v>2023</v>
      </c>
      <c r="C24" s="36" t="s">
        <v>1014</v>
      </c>
      <c r="D24" s="1" t="s">
        <v>2288</v>
      </c>
      <c r="E24" s="1" t="s">
        <v>2169</v>
      </c>
      <c r="F24" s="1" t="s">
        <v>195</v>
      </c>
      <c r="G24" s="38">
        <v>59715</v>
      </c>
      <c r="H24" s="39">
        <v>45.695118999999998</v>
      </c>
      <c r="I24" s="39">
        <v>-111.055083</v>
      </c>
      <c r="J24" s="1" t="s">
        <v>314</v>
      </c>
      <c r="K24" s="40">
        <v>0.04</v>
      </c>
      <c r="L24" s="36" t="s">
        <v>1154</v>
      </c>
      <c r="M24" s="1" t="s">
        <v>1169</v>
      </c>
      <c r="N24" s="36" t="s">
        <v>45</v>
      </c>
      <c r="O24" s="41">
        <v>155</v>
      </c>
      <c r="P24" s="36">
        <v>1</v>
      </c>
      <c r="Q24" s="42">
        <v>23551220</v>
      </c>
      <c r="R24" s="43">
        <v>20487512</v>
      </c>
      <c r="S24" s="43">
        <v>35000000</v>
      </c>
      <c r="T24" s="42">
        <v>0</v>
      </c>
      <c r="U24" s="53">
        <v>0.04</v>
      </c>
      <c r="V24" s="45">
        <v>16</v>
      </c>
      <c r="AC24" s="1" t="s">
        <v>2154</v>
      </c>
      <c r="AD24" s="1" t="s">
        <v>2155</v>
      </c>
      <c r="AE24" s="1" t="s">
        <v>2156</v>
      </c>
      <c r="AF24" s="1" t="s">
        <v>2157</v>
      </c>
      <c r="AG24" s="1" t="s">
        <v>477</v>
      </c>
      <c r="AH24" s="36">
        <v>55416</v>
      </c>
      <c r="AI24" s="47" t="s">
        <v>2158</v>
      </c>
      <c r="AJ24" s="48">
        <v>6122821977</v>
      </c>
      <c r="AK24" s="1" t="s">
        <v>2138</v>
      </c>
      <c r="AL24" s="1" t="s">
        <v>2047</v>
      </c>
      <c r="AM24" s="1" t="s">
        <v>2048</v>
      </c>
      <c r="AN24" s="1" t="s">
        <v>195</v>
      </c>
      <c r="AO24" s="1" t="s">
        <v>472</v>
      </c>
      <c r="AP24" s="1">
        <v>59715</v>
      </c>
      <c r="AQ24" s="36">
        <v>60</v>
      </c>
      <c r="AR24" s="36"/>
      <c r="AS24" s="49">
        <v>4065822383</v>
      </c>
      <c r="AT24" s="50">
        <v>3551</v>
      </c>
      <c r="AU24" s="35">
        <f t="shared" si="11"/>
        <v>155</v>
      </c>
      <c r="AX24" s="1">
        <v>67</v>
      </c>
      <c r="AY24" s="1">
        <v>43</v>
      </c>
      <c r="AZ24" s="1">
        <v>45</v>
      </c>
      <c r="BF24" s="36" t="s">
        <v>1756</v>
      </c>
      <c r="BK24" s="36">
        <v>155</v>
      </c>
      <c r="BP24" s="1">
        <f t="shared" si="12"/>
        <v>155</v>
      </c>
      <c r="BQ24" s="51">
        <f t="shared" si="13"/>
        <v>0.6</v>
      </c>
      <c r="BR24" s="52">
        <v>51935664</v>
      </c>
      <c r="BS24" s="52" t="e">
        <f>VLOOKUP(M24,#REF!,2,TRUE)*(BR24/1000000)</f>
        <v>#REF!</v>
      </c>
      <c r="BT24" s="43" t="e">
        <f>VLOOKUP(M24,#REF!,3,TRUE)*(BR24/1000000)</f>
        <v>#REF!</v>
      </c>
    </row>
    <row r="25" spans="1:72" x14ac:dyDescent="0.25">
      <c r="A25" s="6">
        <v>45211</v>
      </c>
      <c r="B25" s="35">
        <v>2023</v>
      </c>
      <c r="C25" s="36" t="s">
        <v>1014</v>
      </c>
      <c r="D25" s="1" t="s">
        <v>2100</v>
      </c>
      <c r="E25" s="1" t="s">
        <v>1879</v>
      </c>
      <c r="F25" s="1" t="s">
        <v>760</v>
      </c>
      <c r="G25" s="38">
        <v>59501</v>
      </c>
      <c r="H25" s="39">
        <v>48.539270000000002</v>
      </c>
      <c r="I25" s="39">
        <v>-109.69504000000001</v>
      </c>
      <c r="J25" s="1" t="s">
        <v>303</v>
      </c>
      <c r="K25" s="40">
        <v>0.04</v>
      </c>
      <c r="L25" s="36" t="s">
        <v>453</v>
      </c>
      <c r="M25" s="1" t="s">
        <v>307</v>
      </c>
      <c r="N25" s="36" t="s">
        <v>45</v>
      </c>
      <c r="O25" s="41">
        <v>32</v>
      </c>
      <c r="P25" s="36">
        <v>2</v>
      </c>
      <c r="Q25" s="42">
        <v>2487870</v>
      </c>
      <c r="R25" s="43">
        <v>2139350</v>
      </c>
      <c r="S25" s="43">
        <v>4000000</v>
      </c>
      <c r="T25" s="42"/>
      <c r="U25" s="53">
        <v>2.2499999999999999E-2</v>
      </c>
      <c r="V25" s="45">
        <v>20</v>
      </c>
      <c r="Y25" s="8">
        <f>IF(W25&gt;X25,W25,X25)</f>
        <v>0</v>
      </c>
      <c r="Z25" s="46" t="e">
        <f>DATE(YEAR(Y25)+14,MONTH(Y25),DAY(Y25))</f>
        <v>#NUM!</v>
      </c>
      <c r="AA25" s="4">
        <v>35</v>
      </c>
      <c r="AB25" s="46" t="e">
        <f>DATE(YEAR(Z25)+AA25,MONTH(Z25),DAY(Z25))</f>
        <v>#NUM!</v>
      </c>
      <c r="AC25" s="1" t="s">
        <v>979</v>
      </c>
      <c r="AD25" s="1" t="s">
        <v>1220</v>
      </c>
      <c r="AE25" s="1" t="s">
        <v>981</v>
      </c>
      <c r="AF25" s="1" t="s">
        <v>887</v>
      </c>
      <c r="AG25" s="1" t="s">
        <v>472</v>
      </c>
      <c r="AH25" s="36">
        <v>59602</v>
      </c>
      <c r="AI25" s="47" t="s">
        <v>1712</v>
      </c>
      <c r="AJ25" s="48">
        <v>4064312151</v>
      </c>
      <c r="AK25" s="1" t="s">
        <v>2101</v>
      </c>
      <c r="AL25" s="1" t="s">
        <v>2102</v>
      </c>
      <c r="AM25" s="1" t="s">
        <v>2103</v>
      </c>
      <c r="AN25" s="1" t="s">
        <v>760</v>
      </c>
      <c r="AO25" s="1" t="s">
        <v>472</v>
      </c>
      <c r="AP25" s="1">
        <v>59501</v>
      </c>
      <c r="AQ25" s="36" t="s">
        <v>2094</v>
      </c>
      <c r="AS25" s="49"/>
      <c r="AT25" s="50">
        <v>109</v>
      </c>
      <c r="AU25" s="35">
        <f>SUM(AV25:BE25)</f>
        <v>32</v>
      </c>
      <c r="AX25" s="1">
        <v>7</v>
      </c>
      <c r="AY25" s="1">
        <v>25</v>
      </c>
      <c r="BF25" s="36" t="s">
        <v>1756</v>
      </c>
      <c r="BH25" s="36">
        <v>16</v>
      </c>
      <c r="BJ25" s="36">
        <v>10</v>
      </c>
      <c r="BK25" s="36">
        <v>6</v>
      </c>
      <c r="BP25" s="1">
        <f>SUM(BG25:BO25)</f>
        <v>32</v>
      </c>
      <c r="BQ25" s="51">
        <f t="shared" si="13"/>
        <v>0.41875000000000001</v>
      </c>
      <c r="BR25" s="52">
        <v>6966344</v>
      </c>
      <c r="BS25" s="52" t="e">
        <f>VLOOKUP(M25,#REF!,2,TRUE)*(BR25/1000000)</f>
        <v>#REF!</v>
      </c>
      <c r="BT25" s="43" t="e">
        <f>VLOOKUP(M25,#REF!,3,TRUE)*(BR25/1000000)</f>
        <v>#REF!</v>
      </c>
    </row>
    <row r="26" spans="1:72" x14ac:dyDescent="0.25">
      <c r="A26" s="6">
        <v>45205</v>
      </c>
      <c r="B26" s="35">
        <v>2023</v>
      </c>
      <c r="C26" s="36" t="s">
        <v>1014</v>
      </c>
      <c r="D26" s="1" t="s">
        <v>2121</v>
      </c>
      <c r="E26" s="1" t="s">
        <v>2112</v>
      </c>
      <c r="F26" s="1" t="s">
        <v>65</v>
      </c>
      <c r="G26" s="38">
        <v>59404</v>
      </c>
      <c r="H26" s="39">
        <v>47.512479999999996</v>
      </c>
      <c r="I26" s="39">
        <v>-111.32349000000001</v>
      </c>
      <c r="J26" s="1" t="s">
        <v>308</v>
      </c>
      <c r="K26" s="40">
        <v>0.04</v>
      </c>
      <c r="L26" s="36" t="s">
        <v>1154</v>
      </c>
      <c r="M26" s="1" t="s">
        <v>307</v>
      </c>
      <c r="N26" s="36" t="s">
        <v>45</v>
      </c>
      <c r="O26" s="41">
        <v>84</v>
      </c>
      <c r="P26" s="36">
        <v>10</v>
      </c>
      <c r="Q26" s="42">
        <v>6841480</v>
      </c>
      <c r="R26" s="43">
        <v>6156724</v>
      </c>
      <c r="S26" s="43">
        <v>11500000</v>
      </c>
      <c r="T26" s="42">
        <v>12330000</v>
      </c>
      <c r="U26" s="53">
        <v>6.2600000000000003E-2</v>
      </c>
      <c r="V26" s="45">
        <v>17</v>
      </c>
      <c r="Y26" s="8">
        <f t="shared" ref="Y26:Y32" si="14">IF(W26&gt;X26,W26,X26)</f>
        <v>0</v>
      </c>
      <c r="Z26" s="46" t="e">
        <f t="shared" ref="Z26:Z32" si="15">DATE(YEAR(Y26)+14,MONTH(Y26),DAY(Y26))</f>
        <v>#NUM!</v>
      </c>
      <c r="AB26" s="46" t="e">
        <f t="shared" ref="AB26:AB32" si="16">DATE(YEAR(Z26)+AA26,MONTH(Z26),DAY(Z26))</f>
        <v>#NUM!</v>
      </c>
      <c r="AC26" s="1" t="s">
        <v>2162</v>
      </c>
      <c r="AD26" s="1" t="s">
        <v>2113</v>
      </c>
      <c r="AE26" s="1" t="s">
        <v>2114</v>
      </c>
      <c r="AF26" s="1" t="s">
        <v>2115</v>
      </c>
      <c r="AG26" s="1" t="s">
        <v>474</v>
      </c>
      <c r="AH26" s="36">
        <v>98004</v>
      </c>
      <c r="AI26" s="47" t="s">
        <v>2116</v>
      </c>
      <c r="AJ26" s="65" t="s">
        <v>2117</v>
      </c>
      <c r="AK26" s="1" t="s">
        <v>2020</v>
      </c>
      <c r="AL26" s="1" t="s">
        <v>2022</v>
      </c>
      <c r="AM26" s="1" t="s">
        <v>2023</v>
      </c>
      <c r="AN26" s="1" t="s">
        <v>65</v>
      </c>
      <c r="AO26" s="1" t="s">
        <v>2118</v>
      </c>
      <c r="AP26" s="1">
        <v>59403</v>
      </c>
      <c r="AQ26" s="36" t="s">
        <v>1756</v>
      </c>
      <c r="AR26" s="60" t="s">
        <v>2126</v>
      </c>
      <c r="AS26" s="49" t="s">
        <v>2119</v>
      </c>
      <c r="AT26" s="50">
        <v>2619</v>
      </c>
      <c r="AU26" s="35">
        <f>SUM(AV26:BE26)</f>
        <v>84</v>
      </c>
      <c r="AX26" s="1">
        <v>36</v>
      </c>
      <c r="AY26" s="1">
        <v>30</v>
      </c>
      <c r="AZ26" s="1">
        <v>18</v>
      </c>
      <c r="BF26" s="36" t="s">
        <v>1756</v>
      </c>
      <c r="BK26" s="36">
        <v>84</v>
      </c>
      <c r="BP26" s="1">
        <f>SUM(BG26:BO26)</f>
        <v>84</v>
      </c>
      <c r="BQ26" s="51">
        <f>((BH26*BH$1)+(BI26*BI$1)+(BJ26*BJ$1)+(BK26*BK$1)+(BL26*BL$1)+(BM26*BM$1))/SUM(BH26:BM26)</f>
        <v>0.6</v>
      </c>
      <c r="BR26" s="52">
        <v>19063276</v>
      </c>
      <c r="BS26" s="52" t="e">
        <f>VLOOKUP(M26,#REF!,2,TRUE)*(BR26/1000000)</f>
        <v>#REF!</v>
      </c>
      <c r="BT26" s="43" t="e">
        <f>VLOOKUP(M26,#REF!,3,TRUE)*(BR26/1000000)</f>
        <v>#REF!</v>
      </c>
    </row>
    <row r="27" spans="1:72" x14ac:dyDescent="0.25">
      <c r="A27" s="6">
        <v>45132</v>
      </c>
      <c r="B27" s="35">
        <v>2023</v>
      </c>
      <c r="C27" s="36" t="s">
        <v>1014</v>
      </c>
      <c r="D27" s="1" t="s">
        <v>2232</v>
      </c>
      <c r="E27" s="1" t="s">
        <v>2120</v>
      </c>
      <c r="F27" s="1" t="s">
        <v>338</v>
      </c>
      <c r="G27" s="38">
        <v>59808</v>
      </c>
      <c r="H27" s="39">
        <v>46.889626</v>
      </c>
      <c r="I27" s="39">
        <v>-114.03527200000001</v>
      </c>
      <c r="J27" s="1" t="s">
        <v>338</v>
      </c>
      <c r="K27" s="40">
        <v>0.04</v>
      </c>
      <c r="L27" s="36" t="s">
        <v>1154</v>
      </c>
      <c r="M27" s="1" t="s">
        <v>307</v>
      </c>
      <c r="N27" s="36" t="s">
        <v>45</v>
      </c>
      <c r="O27" s="41">
        <v>63</v>
      </c>
      <c r="P27" s="36">
        <v>6</v>
      </c>
      <c r="Q27" s="42">
        <v>5482680</v>
      </c>
      <c r="R27" s="43">
        <v>4860169</v>
      </c>
      <c r="S27" s="43">
        <v>8860000</v>
      </c>
      <c r="T27" s="42">
        <v>5130000</v>
      </c>
      <c r="U27" s="53">
        <v>5.96E-2</v>
      </c>
      <c r="V27" s="45">
        <v>18</v>
      </c>
      <c r="Y27" s="8">
        <f t="shared" si="14"/>
        <v>0</v>
      </c>
      <c r="Z27" s="46" t="e">
        <f t="shared" si="15"/>
        <v>#NUM!</v>
      </c>
      <c r="AB27" s="46" t="e">
        <f t="shared" si="16"/>
        <v>#NUM!</v>
      </c>
      <c r="AC27" s="1" t="s">
        <v>1892</v>
      </c>
      <c r="AD27" s="1" t="s">
        <v>2045</v>
      </c>
      <c r="AE27" s="1" t="s">
        <v>1894</v>
      </c>
      <c r="AF27" s="1" t="s">
        <v>1895</v>
      </c>
      <c r="AG27" s="1" t="s">
        <v>474</v>
      </c>
      <c r="AH27" s="36">
        <v>98004</v>
      </c>
      <c r="AI27" s="47" t="s">
        <v>1974</v>
      </c>
      <c r="AJ27" s="48">
        <v>4254587369</v>
      </c>
      <c r="AK27" s="1" t="s">
        <v>2071</v>
      </c>
      <c r="AL27" s="1" t="s">
        <v>2031</v>
      </c>
      <c r="AM27" s="1" t="s">
        <v>2033</v>
      </c>
      <c r="AN27" s="1" t="s">
        <v>338</v>
      </c>
      <c r="AO27" s="1" t="s">
        <v>472</v>
      </c>
      <c r="AP27" s="1">
        <v>59802</v>
      </c>
      <c r="AQ27" s="63">
        <v>0.6</v>
      </c>
      <c r="AR27" s="60" t="s">
        <v>2072</v>
      </c>
      <c r="AS27" s="49">
        <v>4065526001</v>
      </c>
      <c r="AT27" s="50">
        <v>722</v>
      </c>
      <c r="AU27" s="35">
        <f t="shared" ref="AU27" si="17">SUM(AV27:BE27)</f>
        <v>63</v>
      </c>
      <c r="AY27" s="1">
        <v>36</v>
      </c>
      <c r="AZ27" s="1">
        <v>27</v>
      </c>
      <c r="BF27" s="36" t="s">
        <v>1756</v>
      </c>
      <c r="BK27" s="36">
        <v>63</v>
      </c>
      <c r="BP27" s="1">
        <v>63</v>
      </c>
      <c r="BQ27" s="51">
        <f t="shared" si="13"/>
        <v>0.6</v>
      </c>
      <c r="BR27" s="52">
        <v>14547095</v>
      </c>
      <c r="BS27" s="52" t="e">
        <f>VLOOKUP(M27,#REF!,2,TRUE)*(BR27/1000000)</f>
        <v>#REF!</v>
      </c>
      <c r="BT27" s="43" t="e">
        <f>VLOOKUP(M27,#REF!,3,TRUE)*(BR27/1000000)</f>
        <v>#REF!</v>
      </c>
    </row>
    <row r="28" spans="1:72" x14ac:dyDescent="0.25">
      <c r="A28" s="6">
        <v>45089</v>
      </c>
      <c r="B28" s="35">
        <v>2023</v>
      </c>
      <c r="C28" s="36" t="s">
        <v>1014</v>
      </c>
      <c r="D28" s="1" t="s">
        <v>2052</v>
      </c>
      <c r="E28" s="1" t="s">
        <v>2065</v>
      </c>
      <c r="F28" s="1" t="s">
        <v>65</v>
      </c>
      <c r="G28" s="38">
        <v>59405</v>
      </c>
      <c r="H28" s="38">
        <v>47.490189999999998</v>
      </c>
      <c r="I28" s="39">
        <v>-111.29738</v>
      </c>
      <c r="J28" s="1" t="s">
        <v>308</v>
      </c>
      <c r="K28" s="40">
        <v>0.04</v>
      </c>
      <c r="L28" s="36" t="s">
        <v>453</v>
      </c>
      <c r="M28" s="1" t="s">
        <v>307</v>
      </c>
      <c r="N28" s="36" t="s">
        <v>1152</v>
      </c>
      <c r="O28" s="41">
        <v>72</v>
      </c>
      <c r="P28" s="36">
        <v>1</v>
      </c>
      <c r="Q28" s="42">
        <f>8594820*0.8</f>
        <v>6875856</v>
      </c>
      <c r="R28" s="43">
        <f>7734564*0.8</f>
        <v>6187651.2000000002</v>
      </c>
      <c r="S28" s="43">
        <f>15381160*0.8</f>
        <v>12304928</v>
      </c>
      <c r="T28" s="42">
        <f>10958000*0.8</f>
        <v>8766400</v>
      </c>
      <c r="U28" s="53">
        <v>5.2900000000000003E-2</v>
      </c>
      <c r="V28" s="45">
        <v>35</v>
      </c>
      <c r="W28" s="8">
        <v>45069</v>
      </c>
      <c r="X28" s="8">
        <v>2023</v>
      </c>
      <c r="Y28" s="8">
        <f t="shared" si="14"/>
        <v>45069</v>
      </c>
      <c r="Z28" s="46">
        <f t="shared" si="15"/>
        <v>50183</v>
      </c>
      <c r="AA28" s="4">
        <v>35</v>
      </c>
      <c r="AB28" s="46">
        <f t="shared" si="16"/>
        <v>62967</v>
      </c>
      <c r="AC28" s="1" t="s">
        <v>2068</v>
      </c>
      <c r="AD28" s="1" t="s">
        <v>2067</v>
      </c>
      <c r="AE28" s="1" t="s">
        <v>2069</v>
      </c>
      <c r="AF28" s="1" t="s">
        <v>1998</v>
      </c>
      <c r="AG28" s="1" t="s">
        <v>475</v>
      </c>
      <c r="AH28" s="36">
        <v>92614</v>
      </c>
      <c r="AI28" s="47" t="s">
        <v>2001</v>
      </c>
      <c r="AJ28" s="48">
        <v>9492368135</v>
      </c>
      <c r="AK28" s="1" t="s">
        <v>2020</v>
      </c>
      <c r="AL28" s="1" t="s">
        <v>2022</v>
      </c>
      <c r="AM28" s="1" t="s">
        <v>2023</v>
      </c>
      <c r="AN28" s="1" t="s">
        <v>65</v>
      </c>
      <c r="AO28" s="1" t="s">
        <v>472</v>
      </c>
      <c r="AP28" s="1">
        <v>59403</v>
      </c>
      <c r="AQ28" s="36" t="s">
        <v>2016</v>
      </c>
      <c r="AR28" s="55" t="s">
        <v>2070</v>
      </c>
      <c r="AS28" s="49">
        <v>4068700212</v>
      </c>
      <c r="AT28" s="50">
        <v>375</v>
      </c>
      <c r="AU28" s="35">
        <v>72</v>
      </c>
      <c r="AX28" s="1">
        <v>60</v>
      </c>
      <c r="AY28" s="1">
        <v>11</v>
      </c>
      <c r="BE28" s="1">
        <v>1</v>
      </c>
      <c r="BF28" s="36" t="s">
        <v>1756</v>
      </c>
      <c r="BJ28" s="36">
        <v>46</v>
      </c>
      <c r="BK28" s="36">
        <v>25</v>
      </c>
      <c r="BO28" s="1">
        <v>1</v>
      </c>
      <c r="BP28" s="1">
        <f t="shared" ref="BP28:BP30" si="18">SUM(BH28:BO28)</f>
        <v>72</v>
      </c>
      <c r="BQ28" s="51">
        <f t="shared" ref="BQ28:BQ30" si="19">((BH28*BH$1)+(BI28*BI$1)+(BJ28*BJ$1)+(BK28*BK$1)+(BL28*BL$1)+(BM28*BM$1))/SUM(BH28:BM28)</f>
        <v>0.53521126760563376</v>
      </c>
      <c r="BR28" s="52">
        <f>23151193*0.8</f>
        <v>18520954.400000002</v>
      </c>
      <c r="BS28" s="52" t="e">
        <f>VLOOKUP(M28,#REF!,2,TRUE)*(BR28/1000000)</f>
        <v>#REF!</v>
      </c>
      <c r="BT28" s="43" t="e">
        <f>VLOOKUP(M28,#REF!,3,TRUE)*(BR28/1000000)</f>
        <v>#REF!</v>
      </c>
    </row>
    <row r="29" spans="1:72" x14ac:dyDescent="0.25">
      <c r="A29" s="6">
        <v>45089</v>
      </c>
      <c r="B29" s="35">
        <v>2023</v>
      </c>
      <c r="C29" s="36" t="s">
        <v>1014</v>
      </c>
      <c r="D29" s="1" t="s">
        <v>2054</v>
      </c>
      <c r="E29" s="1" t="s">
        <v>2066</v>
      </c>
      <c r="F29" s="1" t="s">
        <v>65</v>
      </c>
      <c r="G29" s="38">
        <v>59404</v>
      </c>
      <c r="H29" s="38">
        <v>47.514060000000001</v>
      </c>
      <c r="I29" s="39">
        <v>-111.23358</v>
      </c>
      <c r="J29" s="1" t="s">
        <v>308</v>
      </c>
      <c r="K29" s="40">
        <v>0.04</v>
      </c>
      <c r="L29" s="36" t="s">
        <v>453</v>
      </c>
      <c r="M29" s="1" t="s">
        <v>307</v>
      </c>
      <c r="N29" s="36" t="s">
        <v>45</v>
      </c>
      <c r="O29" s="41">
        <v>10</v>
      </c>
      <c r="P29" s="36">
        <v>2</v>
      </c>
      <c r="Q29" s="42">
        <f>8594820*0.1</f>
        <v>859482</v>
      </c>
      <c r="R29" s="43">
        <f>7734564*0.1</f>
        <v>773456.4</v>
      </c>
      <c r="S29" s="43">
        <f>15381160*0.1</f>
        <v>1538116</v>
      </c>
      <c r="T29" s="42">
        <f>10958000*0.1</f>
        <v>1095800</v>
      </c>
      <c r="U29" s="53">
        <v>5.2900000000000003E-2</v>
      </c>
      <c r="V29" s="45">
        <v>35</v>
      </c>
      <c r="Y29" s="8">
        <f t="shared" si="14"/>
        <v>0</v>
      </c>
      <c r="Z29" s="46" t="e">
        <f t="shared" si="15"/>
        <v>#NUM!</v>
      </c>
      <c r="AB29" s="46" t="e">
        <f t="shared" si="16"/>
        <v>#NUM!</v>
      </c>
      <c r="AC29" s="1" t="s">
        <v>2068</v>
      </c>
      <c r="AD29" s="1" t="s">
        <v>2067</v>
      </c>
      <c r="AE29" s="1" t="s">
        <v>2221</v>
      </c>
      <c r="AF29" s="1" t="s">
        <v>1998</v>
      </c>
      <c r="AG29" s="1" t="s">
        <v>475</v>
      </c>
      <c r="AH29" s="36">
        <v>92614</v>
      </c>
      <c r="AI29" s="47" t="s">
        <v>2001</v>
      </c>
      <c r="AJ29" s="48">
        <v>9492368135</v>
      </c>
      <c r="AK29" s="1" t="s">
        <v>2020</v>
      </c>
      <c r="AL29" s="1" t="s">
        <v>2022</v>
      </c>
      <c r="AM29" s="1" t="s">
        <v>2223</v>
      </c>
      <c r="AN29" s="1" t="s">
        <v>65</v>
      </c>
      <c r="AO29" s="1" t="s">
        <v>472</v>
      </c>
      <c r="AP29" s="1">
        <v>59403</v>
      </c>
      <c r="AQ29" s="36" t="s">
        <v>2016</v>
      </c>
      <c r="AR29" s="55" t="s">
        <v>2070</v>
      </c>
      <c r="AS29" s="49">
        <v>4068700212</v>
      </c>
      <c r="AT29" s="50">
        <v>269</v>
      </c>
      <c r="AU29" s="35">
        <v>12</v>
      </c>
      <c r="AZ29" s="1">
        <v>6</v>
      </c>
      <c r="BA29" s="1">
        <v>6</v>
      </c>
      <c r="BF29" s="36" t="s">
        <v>1756</v>
      </c>
      <c r="BK29" s="36">
        <v>12</v>
      </c>
      <c r="BP29" s="1">
        <f t="shared" si="18"/>
        <v>12</v>
      </c>
      <c r="BQ29" s="51">
        <f t="shared" si="19"/>
        <v>0.6</v>
      </c>
      <c r="BR29" s="52">
        <f>23151193*0.1</f>
        <v>2315119.3000000003</v>
      </c>
      <c r="BS29" s="52" t="e">
        <f>VLOOKUP(M29,#REF!,2,TRUE)*(BR29/1000000)</f>
        <v>#REF!</v>
      </c>
      <c r="BT29" s="43" t="e">
        <f>VLOOKUP(M29,#REF!,3,TRUE)*(BR29/1000000)</f>
        <v>#REF!</v>
      </c>
    </row>
    <row r="30" spans="1:72" x14ac:dyDescent="0.25">
      <c r="A30" s="6">
        <v>45089</v>
      </c>
      <c r="B30" s="35">
        <v>2023</v>
      </c>
      <c r="C30" s="36" t="s">
        <v>1014</v>
      </c>
      <c r="D30" s="1" t="s">
        <v>2053</v>
      </c>
      <c r="E30" s="1" t="s">
        <v>2064</v>
      </c>
      <c r="F30" s="1" t="s">
        <v>65</v>
      </c>
      <c r="G30" s="38">
        <v>59405</v>
      </c>
      <c r="H30" s="38">
        <v>47.511409999999998</v>
      </c>
      <c r="I30" s="39">
        <v>-111.32486</v>
      </c>
      <c r="J30" s="1" t="s">
        <v>308</v>
      </c>
      <c r="K30" s="40">
        <v>0.04</v>
      </c>
      <c r="L30" s="36" t="s">
        <v>453</v>
      </c>
      <c r="M30" s="1" t="s">
        <v>307</v>
      </c>
      <c r="N30" s="36" t="s">
        <v>45</v>
      </c>
      <c r="O30" s="41">
        <v>10</v>
      </c>
      <c r="P30" s="36">
        <v>2</v>
      </c>
      <c r="Q30" s="42">
        <f>8594820*0.1</f>
        <v>859482</v>
      </c>
      <c r="R30" s="43">
        <f>7734564*0.1</f>
        <v>773456.4</v>
      </c>
      <c r="S30" s="43">
        <f>15381160*0.1</f>
        <v>1538116</v>
      </c>
      <c r="T30" s="42">
        <f>10958000*0.1</f>
        <v>1095800</v>
      </c>
      <c r="U30" s="53">
        <v>5.2900000000000003E-2</v>
      </c>
      <c r="V30" s="45">
        <v>35</v>
      </c>
      <c r="Y30" s="8">
        <f t="shared" si="14"/>
        <v>0</v>
      </c>
      <c r="Z30" s="46" t="e">
        <f t="shared" si="15"/>
        <v>#NUM!</v>
      </c>
      <c r="AB30" s="46" t="e">
        <f t="shared" si="16"/>
        <v>#NUM!</v>
      </c>
      <c r="AC30" s="1" t="s">
        <v>2068</v>
      </c>
      <c r="AD30" s="1" t="s">
        <v>2067</v>
      </c>
      <c r="AE30" s="1" t="s">
        <v>2222</v>
      </c>
      <c r="AF30" s="1" t="s">
        <v>1998</v>
      </c>
      <c r="AG30" s="1" t="s">
        <v>475</v>
      </c>
      <c r="AH30" s="36">
        <v>92614</v>
      </c>
      <c r="AI30" s="47" t="s">
        <v>2001</v>
      </c>
      <c r="AJ30" s="48">
        <v>9492368135</v>
      </c>
      <c r="AK30" s="1" t="s">
        <v>2020</v>
      </c>
      <c r="AL30" s="1" t="s">
        <v>2022</v>
      </c>
      <c r="AM30" s="1" t="s">
        <v>2224</v>
      </c>
      <c r="AN30" s="1" t="s">
        <v>65</v>
      </c>
      <c r="AO30" s="1" t="s">
        <v>472</v>
      </c>
      <c r="AP30" s="1">
        <v>59403</v>
      </c>
      <c r="AQ30" s="36" t="s">
        <v>2016</v>
      </c>
      <c r="AR30" s="55" t="s">
        <v>2070</v>
      </c>
      <c r="AS30" s="49">
        <v>4068700212</v>
      </c>
      <c r="AT30" s="50">
        <v>269</v>
      </c>
      <c r="AU30" s="35">
        <v>8</v>
      </c>
      <c r="AZ30" s="1">
        <v>4</v>
      </c>
      <c r="BA30" s="1">
        <v>4</v>
      </c>
      <c r="BF30" s="36" t="s">
        <v>1756</v>
      </c>
      <c r="BK30" s="36">
        <v>8</v>
      </c>
      <c r="BP30" s="1">
        <f t="shared" si="18"/>
        <v>8</v>
      </c>
      <c r="BQ30" s="51">
        <f t="shared" si="19"/>
        <v>0.6</v>
      </c>
      <c r="BR30" s="52">
        <f>23151193*0.1</f>
        <v>2315119.3000000003</v>
      </c>
      <c r="BS30" s="52" t="e">
        <f>VLOOKUP(M30,#REF!,2,TRUE)*(BR30/1000000)</f>
        <v>#REF!</v>
      </c>
      <c r="BT30" s="43" t="e">
        <f>VLOOKUP(M30,#REF!,3,TRUE)*(BR30/1000000)</f>
        <v>#REF!</v>
      </c>
    </row>
    <row r="31" spans="1:72" ht="15" customHeight="1" x14ac:dyDescent="0.25">
      <c r="A31" s="8">
        <v>45057</v>
      </c>
      <c r="B31" s="36">
        <v>2023</v>
      </c>
      <c r="C31" s="36" t="s">
        <v>1014</v>
      </c>
      <c r="D31" s="1" t="s">
        <v>2055</v>
      </c>
      <c r="E31" s="1" t="s">
        <v>316</v>
      </c>
      <c r="F31" s="1" t="s">
        <v>192</v>
      </c>
      <c r="G31" s="38">
        <v>59101</v>
      </c>
      <c r="H31" s="39">
        <v>45.756</v>
      </c>
      <c r="I31" s="39">
        <v>-108.60182</v>
      </c>
      <c r="J31" s="1" t="s">
        <v>898</v>
      </c>
      <c r="K31" s="40">
        <v>0.04</v>
      </c>
      <c r="L31" s="36" t="s">
        <v>453</v>
      </c>
      <c r="M31" s="1" t="s">
        <v>307</v>
      </c>
      <c r="N31" s="36" t="s">
        <v>1152</v>
      </c>
      <c r="O31" s="41">
        <v>101</v>
      </c>
      <c r="P31" s="36">
        <v>1</v>
      </c>
      <c r="Q31" s="42">
        <v>9103280</v>
      </c>
      <c r="R31" s="42">
        <v>8073665</v>
      </c>
      <c r="S31" s="42">
        <v>14999944.82</v>
      </c>
      <c r="T31" s="42"/>
      <c r="Y31" s="8">
        <f t="shared" si="14"/>
        <v>0</v>
      </c>
      <c r="Z31" s="46" t="e">
        <f t="shared" si="15"/>
        <v>#NUM!</v>
      </c>
      <c r="AA31" s="4">
        <v>31</v>
      </c>
      <c r="AB31" s="46" t="e">
        <f t="shared" si="16"/>
        <v>#NUM!</v>
      </c>
      <c r="AC31" s="1" t="s">
        <v>723</v>
      </c>
      <c r="AD31" s="1" t="s">
        <v>2056</v>
      </c>
      <c r="AE31" s="1" t="s">
        <v>2057</v>
      </c>
      <c r="AF31" s="1" t="s">
        <v>2058</v>
      </c>
      <c r="AG31" s="1" t="s">
        <v>475</v>
      </c>
      <c r="AH31" s="36">
        <v>90401</v>
      </c>
      <c r="AI31" s="47" t="s">
        <v>2059</v>
      </c>
      <c r="AJ31" s="48">
        <v>5094967232</v>
      </c>
      <c r="AK31" s="1" t="s">
        <v>2060</v>
      </c>
      <c r="AL31" s="1" t="s">
        <v>2061</v>
      </c>
      <c r="AM31" s="1" t="s">
        <v>2062</v>
      </c>
      <c r="AN31" s="1" t="s">
        <v>192</v>
      </c>
      <c r="AO31" s="1" t="s">
        <v>472</v>
      </c>
      <c r="AP31" s="1">
        <v>59103</v>
      </c>
      <c r="AQ31" s="36" t="s">
        <v>2016</v>
      </c>
      <c r="AR31" s="55" t="s">
        <v>2063</v>
      </c>
      <c r="AS31" s="49">
        <v>4066578296</v>
      </c>
      <c r="AT31" s="56">
        <f>(873+374)/2</f>
        <v>623.5</v>
      </c>
      <c r="AU31" s="35">
        <f>SUM(AV31:BE31)</f>
        <v>101</v>
      </c>
      <c r="AX31" s="1">
        <v>100</v>
      </c>
      <c r="BE31" s="1">
        <v>1</v>
      </c>
      <c r="BF31" s="36" t="s">
        <v>1756</v>
      </c>
      <c r="BJ31" s="36">
        <v>51</v>
      </c>
      <c r="BK31" s="36">
        <v>50</v>
      </c>
      <c r="BP31" s="1">
        <f>SUM(BH31:BO31)</f>
        <v>101</v>
      </c>
      <c r="BQ31" s="51">
        <f>((BH31*BH$1)+(BI31*BI$1)+(BJ31*BJ$1)+(BK31*BK$1)+(BL31*BL$1)+(BM31*BM$1))/SUM(BH31:BM31)</f>
        <v>0.54950495049504955</v>
      </c>
      <c r="BR31" s="52">
        <v>25165580</v>
      </c>
      <c r="BS31" s="52" t="e">
        <f>VLOOKUP(M31,#REF!,2,TRUE)*(BR31/1000000)</f>
        <v>#REF!</v>
      </c>
      <c r="BT31" s="43" t="e">
        <f>VLOOKUP(M31,#REF!,3,TRUE)*(BR31/1000000)</f>
        <v>#REF!</v>
      </c>
    </row>
    <row r="32" spans="1:72" ht="15" customHeight="1" x14ac:dyDescent="0.25">
      <c r="A32" s="8">
        <v>44882</v>
      </c>
      <c r="B32" s="36">
        <v>2022</v>
      </c>
      <c r="C32" s="36" t="s">
        <v>1014</v>
      </c>
      <c r="D32" s="1" t="s">
        <v>2044</v>
      </c>
      <c r="E32" s="1" t="s">
        <v>1361</v>
      </c>
      <c r="F32" s="1" t="s">
        <v>195</v>
      </c>
      <c r="G32" s="38">
        <v>59715</v>
      </c>
      <c r="H32" s="39">
        <v>45.672359999999998</v>
      </c>
      <c r="I32" s="39">
        <v>-111.0102</v>
      </c>
      <c r="J32" s="1" t="s">
        <v>314</v>
      </c>
      <c r="K32" s="40">
        <v>0.04</v>
      </c>
      <c r="L32" s="36" t="s">
        <v>453</v>
      </c>
      <c r="M32" s="1" t="s">
        <v>307</v>
      </c>
      <c r="N32" s="36" t="s">
        <v>45</v>
      </c>
      <c r="O32" s="41">
        <v>86</v>
      </c>
      <c r="P32" s="36">
        <v>10</v>
      </c>
      <c r="Q32" s="42">
        <v>7514790</v>
      </c>
      <c r="R32" s="42">
        <v>6627681</v>
      </c>
      <c r="S32" s="42">
        <v>14000000</v>
      </c>
      <c r="T32" s="42"/>
      <c r="Y32" s="8">
        <f t="shared" si="14"/>
        <v>0</v>
      </c>
      <c r="Z32" s="46" t="e">
        <f t="shared" si="15"/>
        <v>#NUM!</v>
      </c>
      <c r="AA32" s="4">
        <v>35</v>
      </c>
      <c r="AB32" s="46" t="e">
        <f t="shared" si="16"/>
        <v>#NUM!</v>
      </c>
      <c r="AC32" s="1" t="s">
        <v>1892</v>
      </c>
      <c r="AD32" s="1" t="s">
        <v>2045</v>
      </c>
      <c r="AE32" s="1" t="s">
        <v>1894</v>
      </c>
      <c r="AF32" s="1" t="s">
        <v>1895</v>
      </c>
      <c r="AG32" s="1" t="s">
        <v>474</v>
      </c>
      <c r="AH32" s="36">
        <v>98004</v>
      </c>
      <c r="AI32" s="47" t="s">
        <v>1974</v>
      </c>
      <c r="AJ32" s="48">
        <v>4254587369</v>
      </c>
      <c r="AK32" s="1" t="s">
        <v>2046</v>
      </c>
      <c r="AL32" s="1" t="s">
        <v>2047</v>
      </c>
      <c r="AM32" s="1" t="s">
        <v>2048</v>
      </c>
      <c r="AN32" s="1" t="s">
        <v>195</v>
      </c>
      <c r="AO32" s="1" t="s">
        <v>472</v>
      </c>
      <c r="AP32" s="1">
        <v>59715</v>
      </c>
      <c r="AQ32" s="63">
        <v>0.6</v>
      </c>
      <c r="AS32" s="49">
        <v>4065822383</v>
      </c>
      <c r="AU32" s="35">
        <f>SUM(AV32:BE32)</f>
        <v>86</v>
      </c>
      <c r="AX32" s="1">
        <v>52</v>
      </c>
      <c r="AY32" s="1">
        <v>23</v>
      </c>
      <c r="AZ32" s="1">
        <v>9</v>
      </c>
      <c r="BA32" s="1">
        <v>1</v>
      </c>
      <c r="BE32" s="1">
        <v>1</v>
      </c>
      <c r="BF32" s="36" t="s">
        <v>1756</v>
      </c>
      <c r="BK32" s="36">
        <v>86</v>
      </c>
      <c r="BP32" s="1">
        <f>SUM(BH32:BO32)</f>
        <v>86</v>
      </c>
      <c r="BQ32" s="51">
        <f>((BH32*BH$1)+(BI32*BI$1)+(BJ32*BJ$1)+(BK32*BK$1)+(BL32*BL$1)+(BM32*BM$1))/SUM(BH32:BM32)</f>
        <v>0.6</v>
      </c>
      <c r="BR32" s="52">
        <v>21411734</v>
      </c>
      <c r="BS32" s="52" t="e">
        <f>VLOOKUP(M32,#REF!,2,TRUE)*(BR32/1000000)</f>
        <v>#REF!</v>
      </c>
      <c r="BT32" s="43" t="e">
        <f>VLOOKUP(M32,#REF!,3,TRUE)*(BR32/1000000)</f>
        <v>#REF!</v>
      </c>
    </row>
    <row r="33" spans="1:72" x14ac:dyDescent="0.25">
      <c r="A33" s="6">
        <v>44851</v>
      </c>
      <c r="B33" s="35">
        <v>2023</v>
      </c>
      <c r="C33" s="36" t="s">
        <v>1014</v>
      </c>
      <c r="D33" s="37" t="s">
        <v>1979</v>
      </c>
      <c r="E33" s="1" t="s">
        <v>1723</v>
      </c>
      <c r="F33" s="37" t="s">
        <v>837</v>
      </c>
      <c r="G33" s="38">
        <v>59022</v>
      </c>
      <c r="H33" s="39">
        <v>45.609479999999998</v>
      </c>
      <c r="I33" s="39">
        <v>-107.47302000000001</v>
      </c>
      <c r="J33" s="37" t="s">
        <v>420</v>
      </c>
      <c r="K33" s="57">
        <v>0.09</v>
      </c>
      <c r="L33" s="58" t="s">
        <v>454</v>
      </c>
      <c r="M33" s="1" t="s">
        <v>307</v>
      </c>
      <c r="N33" s="59" t="s">
        <v>45</v>
      </c>
      <c r="O33" s="41">
        <v>23</v>
      </c>
      <c r="P33" s="36">
        <v>23</v>
      </c>
      <c r="Q33" s="42">
        <v>6435000</v>
      </c>
      <c r="R33" s="43">
        <v>5388774</v>
      </c>
      <c r="S33" s="43"/>
      <c r="T33" s="42"/>
      <c r="AC33" s="1" t="s">
        <v>1989</v>
      </c>
      <c r="AD33" s="1" t="s">
        <v>2220</v>
      </c>
      <c r="AE33" s="1" t="s">
        <v>1703</v>
      </c>
      <c r="AF33" s="1" t="s">
        <v>837</v>
      </c>
      <c r="AG33" s="1" t="s">
        <v>472</v>
      </c>
      <c r="AH33" s="36">
        <v>59022</v>
      </c>
      <c r="AI33" s="47" t="s">
        <v>1704</v>
      </c>
      <c r="AJ33" s="48">
        <v>4066237146</v>
      </c>
      <c r="AK33" s="1" t="s">
        <v>2021</v>
      </c>
      <c r="AL33" s="1" t="s">
        <v>2018</v>
      </c>
      <c r="AM33" s="1" t="s">
        <v>2019</v>
      </c>
      <c r="AN33" s="1" t="s">
        <v>837</v>
      </c>
      <c r="AO33" s="1" t="s">
        <v>472</v>
      </c>
      <c r="AP33" s="1">
        <v>59022</v>
      </c>
      <c r="AQ33" s="36" t="s">
        <v>2015</v>
      </c>
      <c r="AR33" s="60" t="s">
        <v>2025</v>
      </c>
      <c r="AS33" s="49">
        <v>4066796567</v>
      </c>
      <c r="AT33" s="50"/>
      <c r="AU33" s="35">
        <f t="shared" ref="AU33:AU38" si="20">SUM(AV33:BE33)</f>
        <v>23</v>
      </c>
      <c r="AY33" s="1">
        <v>2</v>
      </c>
      <c r="AZ33" s="1">
        <v>15</v>
      </c>
      <c r="BA33" s="1">
        <v>6</v>
      </c>
      <c r="BF33" s="36" t="s">
        <v>2005</v>
      </c>
      <c r="BH33" s="36">
        <v>6</v>
      </c>
      <c r="BK33" s="36">
        <v>17</v>
      </c>
      <c r="BP33" s="1">
        <f t="shared" ref="BP33:BP38" si="21">SUM(BH33:BO33)</f>
        <v>23</v>
      </c>
      <c r="BQ33" s="51">
        <f t="shared" ref="BQ33:BQ38" si="22">((BH33*BH$1)+(BI33*BI$1)+(BJ33*BJ$1)+(BK33*BK$1)+(BL33*BL$1)+(BM33*BM$1))/SUM(BH33:BM33)</f>
        <v>0.52173913043478259</v>
      </c>
      <c r="BR33" s="52">
        <v>6955297</v>
      </c>
      <c r="BS33" s="52" t="e">
        <f>VLOOKUP(M33,#REF!,2,TRUE)*(BR33/1000000)</f>
        <v>#REF!</v>
      </c>
      <c r="BT33" s="43" t="e">
        <f>VLOOKUP(M33,#REF!,3,TRUE)*(BR33/1000000)</f>
        <v>#REF!</v>
      </c>
    </row>
    <row r="34" spans="1:72" x14ac:dyDescent="0.25">
      <c r="A34" s="6">
        <v>44851</v>
      </c>
      <c r="B34" s="35">
        <v>2023</v>
      </c>
      <c r="C34" s="36" t="s">
        <v>1014</v>
      </c>
      <c r="D34" s="37" t="s">
        <v>1760</v>
      </c>
      <c r="E34" s="1" t="s">
        <v>1880</v>
      </c>
      <c r="F34" s="1" t="s">
        <v>65</v>
      </c>
      <c r="G34" s="38">
        <v>59405</v>
      </c>
      <c r="H34" s="39">
        <v>47.499630000000003</v>
      </c>
      <c r="I34" s="39">
        <v>-111.30301</v>
      </c>
      <c r="J34" s="1" t="s">
        <v>308</v>
      </c>
      <c r="K34" s="40">
        <v>0.09</v>
      </c>
      <c r="L34" s="36" t="s">
        <v>1154</v>
      </c>
      <c r="M34" s="1" t="s">
        <v>1169</v>
      </c>
      <c r="N34" s="36" t="s">
        <v>1152</v>
      </c>
      <c r="O34" s="41">
        <v>25</v>
      </c>
      <c r="P34" s="36">
        <v>1</v>
      </c>
      <c r="Q34" s="42">
        <v>6500000</v>
      </c>
      <c r="R34" s="43">
        <v>5524448</v>
      </c>
      <c r="S34" s="43"/>
      <c r="T34" s="42"/>
      <c r="AC34" s="1" t="s">
        <v>1172</v>
      </c>
      <c r="AD34" s="1" t="s">
        <v>844</v>
      </c>
      <c r="AE34" s="1" t="s">
        <v>929</v>
      </c>
      <c r="AF34" s="1" t="s">
        <v>338</v>
      </c>
      <c r="AG34" s="1" t="s">
        <v>472</v>
      </c>
      <c r="AH34" s="36">
        <v>59806</v>
      </c>
      <c r="AI34" s="47" t="s">
        <v>1213</v>
      </c>
      <c r="AJ34" s="48">
        <v>4062031558</v>
      </c>
      <c r="AK34" s="1" t="s">
        <v>2020</v>
      </c>
      <c r="AL34" s="1" t="s">
        <v>2022</v>
      </c>
      <c r="AM34" s="1" t="s">
        <v>2023</v>
      </c>
      <c r="AN34" s="1" t="s">
        <v>65</v>
      </c>
      <c r="AO34" s="1" t="s">
        <v>472</v>
      </c>
      <c r="AP34" s="1">
        <v>59403</v>
      </c>
      <c r="AQ34" s="36" t="s">
        <v>2014</v>
      </c>
      <c r="AR34" s="60" t="s">
        <v>2024</v>
      </c>
      <c r="AS34" s="49">
        <v>4068700212</v>
      </c>
      <c r="AT34" s="50">
        <v>270</v>
      </c>
      <c r="AU34" s="35">
        <f t="shared" si="20"/>
        <v>25</v>
      </c>
      <c r="AX34" s="1">
        <v>18</v>
      </c>
      <c r="AY34" s="1">
        <v>6</v>
      </c>
      <c r="BE34" s="1">
        <v>1</v>
      </c>
      <c r="BF34" s="36" t="s">
        <v>2005</v>
      </c>
      <c r="BI34" s="36">
        <v>2</v>
      </c>
      <c r="BJ34" s="36">
        <v>14</v>
      </c>
      <c r="BK34" s="36">
        <v>9</v>
      </c>
      <c r="BP34" s="1">
        <f t="shared" si="21"/>
        <v>25</v>
      </c>
      <c r="BQ34" s="51">
        <f t="shared" si="22"/>
        <v>0.52800000000000002</v>
      </c>
      <c r="BR34" s="52">
        <v>6849388</v>
      </c>
      <c r="BS34" s="52" t="e">
        <f>VLOOKUP(M34,#REF!,2,TRUE)*(BR34/1000000)</f>
        <v>#REF!</v>
      </c>
      <c r="BT34" s="43" t="e">
        <f>VLOOKUP(M34,#REF!,3,TRUE)*(BR34/1000000)</f>
        <v>#REF!</v>
      </c>
    </row>
    <row r="35" spans="1:72" x14ac:dyDescent="0.25">
      <c r="A35" s="6">
        <v>44851</v>
      </c>
      <c r="B35" s="35">
        <v>2023</v>
      </c>
      <c r="C35" s="36" t="s">
        <v>1014</v>
      </c>
      <c r="D35" s="37" t="s">
        <v>2219</v>
      </c>
      <c r="E35" s="1" t="s">
        <v>2007</v>
      </c>
      <c r="F35" s="1" t="s">
        <v>1047</v>
      </c>
      <c r="G35" s="38">
        <v>59923</v>
      </c>
      <c r="H35" s="39">
        <v>48.394576000000001</v>
      </c>
      <c r="I35" s="39">
        <v>-115.56329700000001</v>
      </c>
      <c r="J35" s="37" t="s">
        <v>446</v>
      </c>
      <c r="K35" s="57">
        <v>0.09</v>
      </c>
      <c r="L35" s="58" t="s">
        <v>426</v>
      </c>
      <c r="M35" s="1" t="s">
        <v>1169</v>
      </c>
      <c r="N35" s="59" t="s">
        <v>45</v>
      </c>
      <c r="O35" s="41">
        <v>24</v>
      </c>
      <c r="P35" s="35">
        <v>13</v>
      </c>
      <c r="Q35" s="42">
        <v>6500000</v>
      </c>
      <c r="R35" s="43">
        <v>5524448</v>
      </c>
      <c r="S35" s="43"/>
      <c r="T35" s="42"/>
      <c r="AC35" s="1" t="s">
        <v>1990</v>
      </c>
      <c r="AD35" s="1" t="s">
        <v>1631</v>
      </c>
      <c r="AE35" s="1" t="s">
        <v>1630</v>
      </c>
      <c r="AF35" s="1" t="s">
        <v>46</v>
      </c>
      <c r="AG35" s="1" t="s">
        <v>472</v>
      </c>
      <c r="AH35" s="36">
        <v>59901</v>
      </c>
      <c r="AI35" s="47" t="s">
        <v>1632</v>
      </c>
      <c r="AJ35" s="48">
        <v>4062356593</v>
      </c>
      <c r="AK35" s="1" t="s">
        <v>2026</v>
      </c>
      <c r="AL35" s="1" t="s">
        <v>2027</v>
      </c>
      <c r="AM35" s="1" t="s">
        <v>2028</v>
      </c>
      <c r="AN35" s="1" t="s">
        <v>1047</v>
      </c>
      <c r="AO35" s="1" t="s">
        <v>472</v>
      </c>
      <c r="AP35" s="1">
        <v>59923</v>
      </c>
      <c r="AQ35" s="36" t="s">
        <v>2016</v>
      </c>
      <c r="AR35" s="60" t="s">
        <v>2029</v>
      </c>
      <c r="AS35" s="49">
        <v>4062932761</v>
      </c>
      <c r="AT35" s="50"/>
      <c r="AU35" s="35">
        <f t="shared" si="20"/>
        <v>24</v>
      </c>
      <c r="AX35" s="1">
        <v>14</v>
      </c>
      <c r="AY35" s="1">
        <v>10</v>
      </c>
      <c r="BF35" s="36" t="s">
        <v>2005</v>
      </c>
      <c r="BJ35" s="36">
        <v>12</v>
      </c>
      <c r="BK35" s="36">
        <v>12</v>
      </c>
      <c r="BP35" s="1">
        <f t="shared" si="21"/>
        <v>24</v>
      </c>
      <c r="BQ35" s="51">
        <f t="shared" si="22"/>
        <v>0.54999999999999993</v>
      </c>
      <c r="BR35" s="52">
        <v>6717141</v>
      </c>
      <c r="BS35" s="52" t="e">
        <f>VLOOKUP(M35,#REF!,2,TRUE)*(BR35/1000000)</f>
        <v>#REF!</v>
      </c>
      <c r="BT35" s="43" t="e">
        <f>VLOOKUP(M35,#REF!,3,TRUE)*(BR35/1000000)</f>
        <v>#REF!</v>
      </c>
    </row>
    <row r="36" spans="1:72" x14ac:dyDescent="0.25">
      <c r="A36" s="6">
        <v>44851</v>
      </c>
      <c r="B36" s="35">
        <v>2023</v>
      </c>
      <c r="C36" s="36" t="s">
        <v>1014</v>
      </c>
      <c r="D36" s="37" t="s">
        <v>1981</v>
      </c>
      <c r="E36" s="1" t="s">
        <v>2008</v>
      </c>
      <c r="F36" s="1" t="s">
        <v>338</v>
      </c>
      <c r="G36" s="38">
        <v>59802</v>
      </c>
      <c r="H36" s="39">
        <v>46.862900000000003</v>
      </c>
      <c r="I36" s="39">
        <v>-113.94172</v>
      </c>
      <c r="J36" s="1" t="s">
        <v>338</v>
      </c>
      <c r="K36" s="40">
        <v>0.09</v>
      </c>
      <c r="L36" s="36" t="s">
        <v>426</v>
      </c>
      <c r="M36" s="1" t="s">
        <v>307</v>
      </c>
      <c r="N36" s="36" t="s">
        <v>45</v>
      </c>
      <c r="O36" s="41">
        <v>41</v>
      </c>
      <c r="P36" s="36">
        <v>4</v>
      </c>
      <c r="Q36" s="42">
        <v>5750000</v>
      </c>
      <c r="R36" s="43">
        <v>4887011</v>
      </c>
      <c r="S36" s="43"/>
      <c r="T36" s="42"/>
      <c r="AC36" s="1" t="s">
        <v>1991</v>
      </c>
      <c r="AD36" s="1" t="s">
        <v>1789</v>
      </c>
      <c r="AE36" s="1" t="s">
        <v>1870</v>
      </c>
      <c r="AF36" s="1" t="s">
        <v>338</v>
      </c>
      <c r="AG36" s="1" t="s">
        <v>472</v>
      </c>
      <c r="AH36" s="36">
        <v>59808</v>
      </c>
      <c r="AI36" s="47" t="s">
        <v>1210</v>
      </c>
      <c r="AJ36" s="48">
        <v>4065324663</v>
      </c>
      <c r="AK36" s="1" t="s">
        <v>2030</v>
      </c>
      <c r="AL36" s="1" t="s">
        <v>2031</v>
      </c>
      <c r="AM36" s="1" t="s">
        <v>2033</v>
      </c>
      <c r="AN36" s="1" t="s">
        <v>338</v>
      </c>
      <c r="AO36" s="1" t="s">
        <v>472</v>
      </c>
      <c r="AP36" s="1">
        <v>59802</v>
      </c>
      <c r="AQ36" s="36" t="s">
        <v>2016</v>
      </c>
      <c r="AR36" s="36"/>
      <c r="AS36" s="49">
        <v>4065526001</v>
      </c>
      <c r="AT36" s="50"/>
      <c r="AU36" s="35">
        <f t="shared" si="20"/>
        <v>41</v>
      </c>
      <c r="AW36" s="1">
        <v>4</v>
      </c>
      <c r="AX36" s="1">
        <v>4</v>
      </c>
      <c r="AY36" s="1">
        <v>28</v>
      </c>
      <c r="AZ36" s="1">
        <v>4</v>
      </c>
      <c r="BE36" s="1">
        <v>1</v>
      </c>
      <c r="BF36" s="36" t="s">
        <v>1756</v>
      </c>
      <c r="BJ36" s="36">
        <v>29</v>
      </c>
      <c r="BK36" s="36">
        <v>12</v>
      </c>
      <c r="BP36" s="1">
        <f t="shared" si="21"/>
        <v>41</v>
      </c>
      <c r="BQ36" s="51">
        <f t="shared" si="22"/>
        <v>0.52926829268292686</v>
      </c>
      <c r="BR36" s="52">
        <v>10260323</v>
      </c>
      <c r="BS36" s="52" t="e">
        <f>VLOOKUP(M36,#REF!,2,TRUE)*(BR36/1000000)</f>
        <v>#REF!</v>
      </c>
      <c r="BT36" s="43" t="e">
        <f>VLOOKUP(M36,#REF!,3,TRUE)*(BR36/1000000)</f>
        <v>#REF!</v>
      </c>
    </row>
    <row r="37" spans="1:72" ht="30" x14ac:dyDescent="0.25">
      <c r="A37" s="6" t="s">
        <v>2226</v>
      </c>
      <c r="B37" s="35">
        <v>2025</v>
      </c>
      <c r="C37" s="36" t="s">
        <v>1014</v>
      </c>
      <c r="D37" s="37" t="s">
        <v>2009</v>
      </c>
      <c r="E37" s="1" t="s">
        <v>2008</v>
      </c>
      <c r="F37" s="1" t="s">
        <v>338</v>
      </c>
      <c r="G37" s="38">
        <v>59802</v>
      </c>
      <c r="H37" s="39">
        <v>46.862900000000003</v>
      </c>
      <c r="I37" s="39">
        <v>-113.94172</v>
      </c>
      <c r="J37" s="1" t="s">
        <v>338</v>
      </c>
      <c r="K37" s="40">
        <v>0.04</v>
      </c>
      <c r="L37" s="36" t="s">
        <v>426</v>
      </c>
      <c r="M37" s="1" t="s">
        <v>307</v>
      </c>
      <c r="N37" s="36" t="s">
        <v>45</v>
      </c>
      <c r="O37" s="41">
        <v>120</v>
      </c>
      <c r="P37" s="36">
        <v>10</v>
      </c>
      <c r="Q37" s="42">
        <v>10211750</v>
      </c>
      <c r="R37" s="43">
        <v>8517295</v>
      </c>
      <c r="S37" s="43">
        <v>26000000</v>
      </c>
      <c r="T37" s="42">
        <v>11000000</v>
      </c>
      <c r="U37" s="53">
        <v>4.4999999999999998E-2</v>
      </c>
      <c r="V37" s="45">
        <v>15</v>
      </c>
      <c r="AC37" s="1" t="s">
        <v>1991</v>
      </c>
      <c r="AD37" s="1" t="s">
        <v>1789</v>
      </c>
      <c r="AE37" s="1" t="s">
        <v>1870</v>
      </c>
      <c r="AF37" s="1" t="s">
        <v>338</v>
      </c>
      <c r="AG37" s="1" t="s">
        <v>472</v>
      </c>
      <c r="AH37" s="36">
        <v>59808</v>
      </c>
      <c r="AI37" s="47" t="s">
        <v>1210</v>
      </c>
      <c r="AJ37" s="48">
        <v>4065324663</v>
      </c>
      <c r="AK37" s="1" t="s">
        <v>2071</v>
      </c>
      <c r="AL37" s="1" t="s">
        <v>2031</v>
      </c>
      <c r="AM37" s="1" t="s">
        <v>2033</v>
      </c>
      <c r="AN37" s="1" t="s">
        <v>338</v>
      </c>
      <c r="AO37" s="1" t="s">
        <v>472</v>
      </c>
      <c r="AP37" s="1">
        <v>59802</v>
      </c>
      <c r="AQ37" s="66" t="s">
        <v>2017</v>
      </c>
      <c r="AR37" s="60" t="s">
        <v>2072</v>
      </c>
      <c r="AS37" s="49">
        <v>4065526001</v>
      </c>
      <c r="AT37" s="50">
        <v>1147</v>
      </c>
      <c r="AU37" s="35">
        <f t="shared" ref="AU37" si="23">SUM(AV37:BE37)</f>
        <v>120</v>
      </c>
      <c r="AW37" s="1">
        <v>8</v>
      </c>
      <c r="AX37" s="1">
        <v>36</v>
      </c>
      <c r="AY37" s="1">
        <v>60</v>
      </c>
      <c r="AZ37" s="1">
        <v>16</v>
      </c>
      <c r="BF37" s="36" t="s">
        <v>1756</v>
      </c>
      <c r="BK37" s="36">
        <v>120</v>
      </c>
      <c r="BP37" s="1">
        <f t="shared" ref="BP37" si="24">SUM(BH37:BO37)</f>
        <v>120</v>
      </c>
      <c r="BQ37" s="51">
        <f t="shared" ref="BQ37" si="25">((BH37*BH$1)+(BI37*BI$1)+(BJ37*BJ$1)+(BK37*BK$1)+(BL37*BL$1)+(BM37*BM$1))/SUM(BH37:BM37)</f>
        <v>0.6</v>
      </c>
      <c r="BR37" s="52">
        <v>30770068</v>
      </c>
      <c r="BS37" s="52" t="e">
        <f>VLOOKUP(M37,#REF!,2,TRUE)*(BR37/1000000)</f>
        <v>#REF!</v>
      </c>
      <c r="BT37" s="43" t="e">
        <f>VLOOKUP(M37,#REF!,3,TRUE)*(BR37/1000000)</f>
        <v>#REF!</v>
      </c>
    </row>
    <row r="38" spans="1:72" x14ac:dyDescent="0.25">
      <c r="A38" s="6">
        <v>44851</v>
      </c>
      <c r="B38" s="35">
        <v>2023</v>
      </c>
      <c r="C38" s="36" t="s">
        <v>1014</v>
      </c>
      <c r="D38" s="37" t="s">
        <v>2168</v>
      </c>
      <c r="E38" s="1" t="s">
        <v>2038</v>
      </c>
      <c r="F38" s="1" t="s">
        <v>60</v>
      </c>
      <c r="G38" s="38">
        <v>59701</v>
      </c>
      <c r="H38" s="39">
        <v>45.957700000000003</v>
      </c>
      <c r="I38" s="39">
        <v>-112.51326</v>
      </c>
      <c r="J38" s="37" t="s">
        <v>437</v>
      </c>
      <c r="K38" s="57">
        <v>0.09</v>
      </c>
      <c r="L38" s="58" t="s">
        <v>426</v>
      </c>
      <c r="M38" s="1" t="s">
        <v>1169</v>
      </c>
      <c r="N38" s="59" t="s">
        <v>1152</v>
      </c>
      <c r="O38" s="41">
        <v>26</v>
      </c>
      <c r="P38" s="35">
        <v>1</v>
      </c>
      <c r="Q38" s="42">
        <v>6500000</v>
      </c>
      <c r="R38" s="43">
        <v>5589439</v>
      </c>
      <c r="S38" s="43"/>
      <c r="T38" s="42"/>
      <c r="AC38" s="1" t="s">
        <v>1992</v>
      </c>
      <c r="AD38" s="1" t="s">
        <v>2039</v>
      </c>
      <c r="AE38" s="1" t="s">
        <v>818</v>
      </c>
      <c r="AF38" s="1" t="s">
        <v>799</v>
      </c>
      <c r="AG38" s="1" t="s">
        <v>478</v>
      </c>
      <c r="AH38" s="36">
        <v>83706</v>
      </c>
      <c r="AI38" s="47" t="s">
        <v>1999</v>
      </c>
      <c r="AJ38" s="48">
        <v>2089477041</v>
      </c>
      <c r="AK38" s="1" t="s">
        <v>2040</v>
      </c>
      <c r="AL38" s="1" t="s">
        <v>2041</v>
      </c>
      <c r="AM38" s="1" t="s">
        <v>2042</v>
      </c>
      <c r="AN38" s="1" t="s">
        <v>60</v>
      </c>
      <c r="AO38" s="1" t="s">
        <v>472</v>
      </c>
      <c r="AP38" s="1">
        <v>59701</v>
      </c>
      <c r="AQ38" s="36" t="s">
        <v>2014</v>
      </c>
      <c r="AR38" s="60" t="s">
        <v>2043</v>
      </c>
      <c r="AS38" s="49">
        <v>4064976222</v>
      </c>
      <c r="AT38" s="50">
        <v>652</v>
      </c>
      <c r="AU38" s="35">
        <f t="shared" si="20"/>
        <v>26</v>
      </c>
      <c r="AX38" s="1">
        <v>13</v>
      </c>
      <c r="AY38" s="1">
        <v>13</v>
      </c>
      <c r="BF38" s="36" t="s">
        <v>1756</v>
      </c>
      <c r="BI38" s="36">
        <v>4</v>
      </c>
      <c r="BJ38" s="36">
        <v>11</v>
      </c>
      <c r="BK38" s="36">
        <v>11</v>
      </c>
      <c r="BP38" s="1">
        <f t="shared" si="21"/>
        <v>26</v>
      </c>
      <c r="BQ38" s="51">
        <f t="shared" si="22"/>
        <v>0.52692307692307694</v>
      </c>
      <c r="BR38" s="52">
        <v>8017355</v>
      </c>
      <c r="BS38" s="52" t="e">
        <f>VLOOKUP(M38,#REF!,2,TRUE)*(BR38/1000000)</f>
        <v>#REF!</v>
      </c>
      <c r="BT38" s="43" t="e">
        <f>VLOOKUP(M38,#REF!,3,TRUE)*(BR38/1000000)</f>
        <v>#REF!</v>
      </c>
    </row>
    <row r="39" spans="1:72" x14ac:dyDescent="0.25">
      <c r="A39" s="6">
        <v>44744</v>
      </c>
      <c r="B39" s="35">
        <v>2022</v>
      </c>
      <c r="C39" s="36" t="s">
        <v>1014</v>
      </c>
      <c r="D39" s="1" t="s">
        <v>1944</v>
      </c>
      <c r="E39" s="1" t="s">
        <v>1973</v>
      </c>
      <c r="F39" s="1" t="s">
        <v>195</v>
      </c>
      <c r="G39" s="38">
        <v>59715</v>
      </c>
      <c r="H39" s="39">
        <v>45.694470000000003</v>
      </c>
      <c r="I39" s="39">
        <v>-111.05779</v>
      </c>
      <c r="J39" s="1" t="s">
        <v>314</v>
      </c>
      <c r="K39" s="40">
        <v>0.04</v>
      </c>
      <c r="L39" s="36" t="s">
        <v>453</v>
      </c>
      <c r="M39" s="1" t="s">
        <v>307</v>
      </c>
      <c r="N39" s="36" t="s">
        <v>2213</v>
      </c>
      <c r="O39" s="41">
        <v>60</v>
      </c>
      <c r="P39" s="36">
        <v>1</v>
      </c>
      <c r="Q39" s="42">
        <v>5460890</v>
      </c>
      <c r="R39" s="43">
        <v>4636086</v>
      </c>
      <c r="S39" s="43"/>
      <c r="T39" s="42"/>
      <c r="Y39" s="8">
        <f t="shared" ref="Y39:Y102" si="26">IF(W39&gt;X39,W39,X39)</f>
        <v>0</v>
      </c>
      <c r="Z39" s="46" t="e">
        <f t="shared" ref="Z39:Z102" si="27">DATE(YEAR(Y39)+14,MONTH(Y39),DAY(Y39))</f>
        <v>#NUM!</v>
      </c>
      <c r="AA39" s="4">
        <v>36</v>
      </c>
      <c r="AB39" s="46" t="e">
        <f t="shared" ref="AB39:AB70" si="28">DATE(YEAR(Z39)+AA39,MONTH(Z39),DAY(Z39))</f>
        <v>#NUM!</v>
      </c>
      <c r="AC39" s="1" t="s">
        <v>2214</v>
      </c>
      <c r="AD39" s="1" t="s">
        <v>2045</v>
      </c>
      <c r="AE39" s="1" t="s">
        <v>1894</v>
      </c>
      <c r="AF39" s="1" t="s">
        <v>1895</v>
      </c>
      <c r="AG39" s="1" t="s">
        <v>474</v>
      </c>
      <c r="AH39" s="36">
        <v>98004</v>
      </c>
      <c r="AI39" s="47" t="s">
        <v>1974</v>
      </c>
      <c r="AJ39" s="48" t="s">
        <v>2215</v>
      </c>
      <c r="AK39" s="1" t="s">
        <v>2046</v>
      </c>
      <c r="AL39" s="1" t="s">
        <v>2216</v>
      </c>
      <c r="AM39" s="67" t="s">
        <v>2217</v>
      </c>
      <c r="AN39" s="1" t="s">
        <v>195</v>
      </c>
      <c r="AO39" s="1" t="s">
        <v>472</v>
      </c>
      <c r="AP39" s="67">
        <v>59715</v>
      </c>
      <c r="AQ39" s="36" t="s">
        <v>2205</v>
      </c>
      <c r="AR39" s="67"/>
      <c r="AS39" s="49" t="s">
        <v>2218</v>
      </c>
      <c r="AT39" s="50">
        <v>30</v>
      </c>
      <c r="AU39" s="35">
        <v>60</v>
      </c>
      <c r="AX39" s="1">
        <v>45</v>
      </c>
      <c r="AY39" s="1">
        <v>15</v>
      </c>
      <c r="BF39" s="36" t="s">
        <v>1756</v>
      </c>
      <c r="BK39" s="36">
        <v>60</v>
      </c>
      <c r="BP39" s="1">
        <f t="shared" ref="BP39" si="29">SUM(BH39:BO39)</f>
        <v>60</v>
      </c>
      <c r="BQ39" s="51">
        <f t="shared" ref="BQ39" si="30">((BH39*BH$1)+(BI39*BI$1)+(BJ39*BJ$1)+(BK39*BK$1)+(BL39*BL$1)+(BM39*BM$1))/SUM(BH39:BM39)</f>
        <v>0.6</v>
      </c>
      <c r="BR39" s="52">
        <v>14027890</v>
      </c>
      <c r="BS39" s="52" t="e">
        <f>VLOOKUP(M39,#REF!,2,TRUE)*(BR39/1000000)</f>
        <v>#REF!</v>
      </c>
      <c r="BT39" s="43" t="e">
        <f>VLOOKUP(M39,#REF!,3,TRUE)*(BR39/1000000)</f>
        <v>#REF!</v>
      </c>
    </row>
    <row r="40" spans="1:72" ht="15" customHeight="1" x14ac:dyDescent="0.25">
      <c r="A40" s="6">
        <v>44658</v>
      </c>
      <c r="B40" s="35">
        <v>2022</v>
      </c>
      <c r="C40" s="36" t="s">
        <v>1014</v>
      </c>
      <c r="D40" s="37" t="s">
        <v>1835</v>
      </c>
      <c r="E40" s="1" t="s">
        <v>1833</v>
      </c>
      <c r="F40" s="37" t="s">
        <v>1039</v>
      </c>
      <c r="G40" s="38">
        <v>59044</v>
      </c>
      <c r="H40" s="39">
        <v>45.676029999999997</v>
      </c>
      <c r="I40" s="39">
        <v>-108.78215</v>
      </c>
      <c r="J40" s="37" t="s">
        <v>300</v>
      </c>
      <c r="K40" s="57">
        <v>0.04</v>
      </c>
      <c r="L40" s="58" t="s">
        <v>1154</v>
      </c>
      <c r="M40" s="1" t="s">
        <v>307</v>
      </c>
      <c r="N40" s="59" t="s">
        <v>1152</v>
      </c>
      <c r="O40" s="41">
        <v>50</v>
      </c>
      <c r="P40" s="35">
        <v>9</v>
      </c>
      <c r="Q40" s="42">
        <v>2867056</v>
      </c>
      <c r="R40" s="42">
        <v>2164414</v>
      </c>
      <c r="S40" s="42">
        <v>4805645</v>
      </c>
      <c r="T40" s="42"/>
      <c r="U40" s="53">
        <v>2.2499999999999999E-2</v>
      </c>
      <c r="V40" s="45">
        <v>30</v>
      </c>
      <c r="W40" s="6"/>
      <c r="X40" s="6"/>
      <c r="Y40" s="8">
        <f t="shared" si="26"/>
        <v>0</v>
      </c>
      <c r="Z40" s="46" t="e">
        <f t="shared" si="27"/>
        <v>#NUM!</v>
      </c>
      <c r="AA40" s="2"/>
      <c r="AB40" s="46" t="e">
        <f t="shared" si="28"/>
        <v>#NUM!</v>
      </c>
      <c r="AC40" s="1" t="s">
        <v>1699</v>
      </c>
      <c r="AD40" s="1" t="s">
        <v>976</v>
      </c>
      <c r="AE40" s="1" t="s">
        <v>935</v>
      </c>
      <c r="AF40" s="1" t="s">
        <v>887</v>
      </c>
      <c r="AG40" s="1" t="s">
        <v>472</v>
      </c>
      <c r="AH40" s="36">
        <v>59602</v>
      </c>
      <c r="AI40" s="47" t="s">
        <v>1636</v>
      </c>
      <c r="AJ40" s="48">
        <v>4064595332</v>
      </c>
      <c r="AK40" s="1" t="s">
        <v>2208</v>
      </c>
      <c r="AL40" s="1" t="s">
        <v>2209</v>
      </c>
      <c r="AM40" s="1" t="s">
        <v>2210</v>
      </c>
      <c r="AN40" s="1" t="s">
        <v>2209</v>
      </c>
      <c r="AO40" s="1" t="s">
        <v>472</v>
      </c>
      <c r="AP40" s="1">
        <v>59044</v>
      </c>
      <c r="AR40" s="1" t="s">
        <v>2211</v>
      </c>
      <c r="AS40" s="1" t="s">
        <v>2212</v>
      </c>
      <c r="AT40" s="50">
        <v>65</v>
      </c>
      <c r="AU40" s="35">
        <f>SUM(AV40:BE40)</f>
        <v>50</v>
      </c>
      <c r="AW40" s="10"/>
      <c r="AX40" s="1">
        <v>37</v>
      </c>
      <c r="AY40" s="1">
        <v>13</v>
      </c>
      <c r="BF40" s="36" t="s">
        <v>1755</v>
      </c>
      <c r="BH40" s="36">
        <v>4</v>
      </c>
      <c r="BI40" s="36">
        <v>4</v>
      </c>
      <c r="BJ40" s="36">
        <v>39</v>
      </c>
      <c r="BM40" s="36">
        <v>15</v>
      </c>
      <c r="BP40" s="1">
        <f>SUM(BH40:BO40)</f>
        <v>62</v>
      </c>
      <c r="BQ40" s="51">
        <f>((BH40*BH$1)+(BI40*BI$1)+(BJ40*BJ$1)+(BK40*BK$1)+(BL40*BL$1)+(BM40*BM$1))/SUM(BH40:BM40)</f>
        <v>0.5532258064516129</v>
      </c>
      <c r="BR40" s="52">
        <v>9916143</v>
      </c>
      <c r="BS40" s="52" t="e">
        <f>VLOOKUP(M40,#REF!,2,TRUE)*(BR40/1000000)</f>
        <v>#REF!</v>
      </c>
      <c r="BT40" s="43" t="e">
        <f>VLOOKUP(M40,#REF!,3,TRUE)*(BR40/1000000)</f>
        <v>#REF!</v>
      </c>
    </row>
    <row r="41" spans="1:72" ht="15" customHeight="1" x14ac:dyDescent="0.25">
      <c r="A41" s="6">
        <v>44658</v>
      </c>
      <c r="B41" s="35">
        <v>2022</v>
      </c>
      <c r="C41" s="36" t="s">
        <v>1014</v>
      </c>
      <c r="D41" s="37" t="s">
        <v>1836</v>
      </c>
      <c r="E41" s="1" t="s">
        <v>1834</v>
      </c>
      <c r="F41" s="37" t="s">
        <v>1263</v>
      </c>
      <c r="G41" s="38">
        <v>59041</v>
      </c>
      <c r="H41" s="39">
        <v>45.487160000000003</v>
      </c>
      <c r="I41" s="39">
        <v>-108.94302</v>
      </c>
      <c r="J41" s="37" t="s">
        <v>392</v>
      </c>
      <c r="K41" s="57">
        <v>0.04</v>
      </c>
      <c r="L41" s="58" t="s">
        <v>1154</v>
      </c>
      <c r="M41" s="1" t="s">
        <v>307</v>
      </c>
      <c r="N41" s="59" t="s">
        <v>1152</v>
      </c>
      <c r="O41" s="41">
        <v>12</v>
      </c>
      <c r="P41" s="35">
        <v>3</v>
      </c>
      <c r="Q41" s="42">
        <v>688094</v>
      </c>
      <c r="R41" s="42">
        <v>519459</v>
      </c>
      <c r="S41" s="42">
        <v>1153355</v>
      </c>
      <c r="T41" s="42"/>
      <c r="W41" s="6"/>
      <c r="X41" s="6"/>
      <c r="Y41" s="8">
        <f t="shared" si="26"/>
        <v>0</v>
      </c>
      <c r="Z41" s="46" t="e">
        <f t="shared" si="27"/>
        <v>#NUM!</v>
      </c>
      <c r="AA41" s="2"/>
      <c r="AB41" s="46" t="e">
        <f t="shared" si="28"/>
        <v>#NUM!</v>
      </c>
      <c r="AC41" s="1" t="s">
        <v>1699</v>
      </c>
      <c r="AD41" s="1" t="s">
        <v>976</v>
      </c>
      <c r="AE41" s="1" t="s">
        <v>2200</v>
      </c>
      <c r="AF41" s="1" t="s">
        <v>887</v>
      </c>
      <c r="AG41" s="1" t="s">
        <v>472</v>
      </c>
      <c r="AH41" s="36">
        <v>59602</v>
      </c>
      <c r="AI41" s="47" t="s">
        <v>1636</v>
      </c>
      <c r="AJ41" s="48" t="s">
        <v>2201</v>
      </c>
      <c r="AK41" s="1" t="s">
        <v>2202</v>
      </c>
      <c r="AL41" s="1" t="s">
        <v>2203</v>
      </c>
      <c r="AM41" s="1" t="s">
        <v>2204</v>
      </c>
      <c r="AN41" s="1" t="s">
        <v>1263</v>
      </c>
      <c r="AO41" s="1" t="s">
        <v>472</v>
      </c>
      <c r="AP41" s="1">
        <v>59041</v>
      </c>
      <c r="AQ41" s="1" t="s">
        <v>2205</v>
      </c>
      <c r="AR41" s="1" t="s">
        <v>2206</v>
      </c>
      <c r="AS41" s="1" t="s">
        <v>2207</v>
      </c>
      <c r="AT41" s="50">
        <v>10</v>
      </c>
      <c r="AU41" s="35">
        <f>SUM(AV41:BE41)</f>
        <v>12</v>
      </c>
      <c r="AW41" s="10"/>
      <c r="AX41" s="1">
        <v>11</v>
      </c>
      <c r="AY41" s="1">
        <v>1</v>
      </c>
      <c r="BF41" s="36" t="s">
        <v>1755</v>
      </c>
      <c r="BP41" s="1">
        <f>SUM(BH41:BO41)</f>
        <v>0</v>
      </c>
      <c r="BQ41" s="51"/>
      <c r="BR41" s="52">
        <v>2379874</v>
      </c>
      <c r="BS41" s="52" t="e">
        <f>VLOOKUP(M41,#REF!,2,TRUE)*(BR41/1000000)</f>
        <v>#REF!</v>
      </c>
      <c r="BT41" s="43" t="e">
        <f>VLOOKUP(M41,#REF!,3,TRUE)*(BR41/1000000)</f>
        <v>#REF!</v>
      </c>
    </row>
    <row r="42" spans="1:72" s="71" customFormat="1" ht="30" x14ac:dyDescent="0.25">
      <c r="A42" s="68">
        <v>44515</v>
      </c>
      <c r="B42" s="69">
        <v>2022</v>
      </c>
      <c r="C42" s="11" t="s">
        <v>1014</v>
      </c>
      <c r="D42" s="70" t="s">
        <v>1881</v>
      </c>
      <c r="E42" s="71" t="s">
        <v>1681</v>
      </c>
      <c r="F42" s="70" t="s">
        <v>47</v>
      </c>
      <c r="G42" s="12">
        <v>59457</v>
      </c>
      <c r="H42" s="72">
        <v>47.065069999999999</v>
      </c>
      <c r="I42" s="72">
        <v>-109.42624000000001</v>
      </c>
      <c r="J42" s="70" t="s">
        <v>207</v>
      </c>
      <c r="K42" s="73">
        <v>0.09</v>
      </c>
      <c r="L42" s="74" t="s">
        <v>440</v>
      </c>
      <c r="M42" s="71" t="s">
        <v>1169</v>
      </c>
      <c r="N42" s="75" t="s">
        <v>45</v>
      </c>
      <c r="O42" s="76">
        <v>16</v>
      </c>
      <c r="P42" s="69">
        <v>1</v>
      </c>
      <c r="Q42" s="77">
        <v>220000</v>
      </c>
      <c r="R42" s="78">
        <v>178182</v>
      </c>
      <c r="S42" s="77"/>
      <c r="T42" s="77"/>
      <c r="U42" s="79"/>
      <c r="V42" s="80"/>
      <c r="W42" s="68"/>
      <c r="X42" s="68"/>
      <c r="Y42" s="8">
        <f t="shared" si="26"/>
        <v>0</v>
      </c>
      <c r="Z42" s="46" t="e">
        <f t="shared" si="27"/>
        <v>#NUM!</v>
      </c>
      <c r="AA42" s="82">
        <v>31</v>
      </c>
      <c r="AB42" s="83" t="e">
        <f t="shared" si="28"/>
        <v>#NUM!</v>
      </c>
      <c r="AC42" s="71" t="s">
        <v>1682</v>
      </c>
      <c r="AD42" s="71" t="s">
        <v>955</v>
      </c>
      <c r="AE42" s="71" t="s">
        <v>2193</v>
      </c>
      <c r="AF42" s="71" t="s">
        <v>338</v>
      </c>
      <c r="AG42" s="71" t="s">
        <v>472</v>
      </c>
      <c r="AH42" s="11">
        <v>59808</v>
      </c>
      <c r="AI42" s="47" t="s">
        <v>1210</v>
      </c>
      <c r="AJ42" s="48" t="s">
        <v>2194</v>
      </c>
      <c r="AK42" s="71" t="s">
        <v>2195</v>
      </c>
      <c r="AL42" s="71" t="s">
        <v>2196</v>
      </c>
      <c r="AM42" s="71" t="s">
        <v>2197</v>
      </c>
      <c r="AN42" s="71" t="s">
        <v>47</v>
      </c>
      <c r="AO42" s="71" t="s">
        <v>472</v>
      </c>
      <c r="AP42" s="71">
        <v>59457</v>
      </c>
      <c r="AQ42" s="36" t="s">
        <v>2014</v>
      </c>
      <c r="AR42" s="71" t="s">
        <v>2198</v>
      </c>
      <c r="AS42" s="71" t="s">
        <v>2199</v>
      </c>
      <c r="AT42" s="84">
        <v>101</v>
      </c>
      <c r="AU42" s="69">
        <v>16</v>
      </c>
      <c r="AW42" s="13">
        <v>4</v>
      </c>
      <c r="AX42" s="71">
        <v>10</v>
      </c>
      <c r="AY42" s="71">
        <v>2</v>
      </c>
      <c r="BF42" s="11" t="s">
        <v>1755</v>
      </c>
      <c r="BG42" s="11"/>
      <c r="BH42" s="11"/>
      <c r="BI42" s="11"/>
      <c r="BJ42" s="11"/>
      <c r="BK42" s="11"/>
      <c r="BL42" s="11"/>
      <c r="BM42" s="11"/>
      <c r="BN42" s="11"/>
      <c r="BQ42" s="85"/>
      <c r="BR42" s="52">
        <v>4390450</v>
      </c>
      <c r="BS42" s="52"/>
      <c r="BT42" s="43"/>
    </row>
    <row r="43" spans="1:72" ht="15" customHeight="1" x14ac:dyDescent="0.25">
      <c r="A43" s="6">
        <v>44515</v>
      </c>
      <c r="B43" s="35">
        <v>2022</v>
      </c>
      <c r="C43" s="36" t="s">
        <v>1014</v>
      </c>
      <c r="D43" s="37" t="s">
        <v>1762</v>
      </c>
      <c r="E43" s="1" t="s">
        <v>1883</v>
      </c>
      <c r="F43" s="37" t="s">
        <v>1034</v>
      </c>
      <c r="G43" s="38">
        <v>59716</v>
      </c>
      <c r="H43" s="39">
        <v>45.266240000000003</v>
      </c>
      <c r="I43" s="39">
        <v>-111.29076000000001</v>
      </c>
      <c r="J43" s="37" t="s">
        <v>314</v>
      </c>
      <c r="K43" s="57">
        <v>0.09</v>
      </c>
      <c r="L43" s="58" t="s">
        <v>1154</v>
      </c>
      <c r="M43" s="1" t="s">
        <v>1169</v>
      </c>
      <c r="N43" s="59" t="s">
        <v>45</v>
      </c>
      <c r="O43" s="41">
        <v>25</v>
      </c>
      <c r="P43" s="35">
        <v>1</v>
      </c>
      <c r="Q43" s="42">
        <v>6491250</v>
      </c>
      <c r="R43" s="86">
        <v>5646824</v>
      </c>
      <c r="S43" s="42"/>
      <c r="T43" s="42"/>
      <c r="W43" s="6"/>
      <c r="X43" s="6"/>
      <c r="Y43" s="8">
        <f t="shared" si="26"/>
        <v>0</v>
      </c>
      <c r="Z43" s="46" t="e">
        <f t="shared" si="27"/>
        <v>#NUM!</v>
      </c>
      <c r="AA43" s="2">
        <v>31</v>
      </c>
      <c r="AB43" s="46" t="e">
        <f t="shared" si="28"/>
        <v>#NUM!</v>
      </c>
      <c r="AC43" s="1" t="s">
        <v>1774</v>
      </c>
      <c r="AD43" s="1" t="s">
        <v>1884</v>
      </c>
      <c r="AE43" s="1" t="s">
        <v>1885</v>
      </c>
      <c r="AF43" s="1" t="s">
        <v>338</v>
      </c>
      <c r="AG43" s="1" t="s">
        <v>472</v>
      </c>
      <c r="AH43" s="36">
        <v>59801</v>
      </c>
      <c r="AI43" s="47" t="s">
        <v>1886</v>
      </c>
      <c r="AJ43" s="48">
        <v>4069261401</v>
      </c>
      <c r="AK43" s="1" t="s">
        <v>2187</v>
      </c>
      <c r="AL43" s="1" t="s">
        <v>2188</v>
      </c>
      <c r="AM43" s="1" t="s">
        <v>2189</v>
      </c>
      <c r="AN43" s="1" t="s">
        <v>2190</v>
      </c>
      <c r="AO43" s="1" t="s">
        <v>472</v>
      </c>
      <c r="AP43" s="1">
        <v>59715</v>
      </c>
      <c r="AQ43" s="36" t="s">
        <v>2014</v>
      </c>
      <c r="AR43" s="1" t="s">
        <v>2191</v>
      </c>
      <c r="AS43" s="1" t="s">
        <v>2192</v>
      </c>
      <c r="AT43" s="50">
        <v>49</v>
      </c>
      <c r="AU43" s="35">
        <f t="shared" ref="AU43:AU77" si="31">SUM(AV43:BE43)</f>
        <v>25</v>
      </c>
      <c r="AW43" s="10"/>
      <c r="AX43" s="1">
        <v>6</v>
      </c>
      <c r="AY43" s="1">
        <v>11</v>
      </c>
      <c r="AZ43" s="1">
        <v>7</v>
      </c>
      <c r="BE43" s="1">
        <v>1</v>
      </c>
      <c r="BF43" s="36" t="s">
        <v>1756</v>
      </c>
      <c r="BH43" s="36">
        <v>1</v>
      </c>
      <c r="BJ43" s="36">
        <v>9</v>
      </c>
      <c r="BK43" s="36">
        <v>7</v>
      </c>
      <c r="BL43" s="36">
        <v>4</v>
      </c>
      <c r="BM43" s="36">
        <v>3</v>
      </c>
      <c r="BO43" s="36">
        <v>1</v>
      </c>
      <c r="BP43" s="1">
        <f t="shared" ref="BP43:BP77" si="32">SUM(BH43:BO43)</f>
        <v>25</v>
      </c>
      <c r="BQ43" s="51">
        <f t="shared" ref="BQ43:BQ68" si="33">((BH43*BH$1)+(BI43*BI$1)+(BJ43*BJ$1)+(BK43*BK$1)+(BL43*BL$1)+(BM43*BM$1))/SUM(BH43:BM43)</f>
        <v>0.59166666666666667</v>
      </c>
      <c r="BR43" s="52">
        <v>7656054</v>
      </c>
      <c r="BS43" s="52" t="e">
        <f>VLOOKUP(M43,#REF!,2,TRUE)*(BR43/1000000)</f>
        <v>#REF!</v>
      </c>
      <c r="BT43" s="43" t="e">
        <f>VLOOKUP(M43,#REF!,3,TRUE)*(BR43/1000000)</f>
        <v>#REF!</v>
      </c>
    </row>
    <row r="44" spans="1:72" ht="15" customHeight="1" x14ac:dyDescent="0.25">
      <c r="A44" s="6"/>
      <c r="B44" s="35">
        <v>2022</v>
      </c>
      <c r="C44" s="36" t="s">
        <v>1014</v>
      </c>
      <c r="D44" s="37" t="s">
        <v>1878</v>
      </c>
      <c r="E44" s="1" t="s">
        <v>1875</v>
      </c>
      <c r="F44" s="37" t="s">
        <v>46</v>
      </c>
      <c r="G44" s="38">
        <v>59901</v>
      </c>
      <c r="H44" s="39">
        <v>48.210099999999997</v>
      </c>
      <c r="I44" s="39">
        <v>-114.33002999999999</v>
      </c>
      <c r="J44" s="37" t="s">
        <v>343</v>
      </c>
      <c r="K44" s="57">
        <v>0.04</v>
      </c>
      <c r="L44" s="58" t="s">
        <v>1154</v>
      </c>
      <c r="M44" s="1" t="s">
        <v>1169</v>
      </c>
      <c r="N44" s="59" t="s">
        <v>45</v>
      </c>
      <c r="O44" s="41">
        <v>114</v>
      </c>
      <c r="P44" s="35">
        <v>7</v>
      </c>
      <c r="Q44" s="42">
        <v>15723498</v>
      </c>
      <c r="R44" s="86">
        <v>14385562</v>
      </c>
      <c r="S44" s="42">
        <v>22500000</v>
      </c>
      <c r="T44" s="42">
        <v>13624144</v>
      </c>
      <c r="U44" s="53">
        <v>4.1000000000000002E-2</v>
      </c>
      <c r="V44" s="45">
        <v>35</v>
      </c>
      <c r="W44" s="6"/>
      <c r="X44" s="6"/>
      <c r="Y44" s="8">
        <f t="shared" si="26"/>
        <v>0</v>
      </c>
      <c r="Z44" s="46" t="e">
        <f t="shared" si="27"/>
        <v>#NUM!</v>
      </c>
      <c r="AA44" s="2">
        <v>31</v>
      </c>
      <c r="AB44" s="46" t="e">
        <f t="shared" si="28"/>
        <v>#NUM!</v>
      </c>
      <c r="AC44" s="1" t="s">
        <v>1773</v>
      </c>
      <c r="AD44" s="1" t="s">
        <v>1787</v>
      </c>
      <c r="AE44" s="1" t="s">
        <v>1877</v>
      </c>
      <c r="AF44" s="1" t="s">
        <v>793</v>
      </c>
      <c r="AG44" s="1" t="s">
        <v>474</v>
      </c>
      <c r="AH44" s="36">
        <v>98101</v>
      </c>
      <c r="AI44" s="47" t="s">
        <v>1670</v>
      </c>
      <c r="AJ44" s="48">
        <v>2067456464</v>
      </c>
      <c r="AK44" s="1" t="s">
        <v>2181</v>
      </c>
      <c r="AL44" s="1" t="s">
        <v>2182</v>
      </c>
      <c r="AM44" s="1" t="s">
        <v>2183</v>
      </c>
      <c r="AN44" s="1" t="s">
        <v>46</v>
      </c>
      <c r="AO44" s="1" t="s">
        <v>472</v>
      </c>
      <c r="AP44" s="1">
        <v>59903</v>
      </c>
      <c r="AQ44" s="1" t="s">
        <v>2014</v>
      </c>
      <c r="AR44" s="1" t="s">
        <v>2184</v>
      </c>
      <c r="AS44" s="1" t="s">
        <v>2185</v>
      </c>
      <c r="AT44" s="50">
        <v>161</v>
      </c>
      <c r="AU44" s="35">
        <f t="shared" si="31"/>
        <v>114</v>
      </c>
      <c r="AX44" s="1">
        <f>19*3</f>
        <v>57</v>
      </c>
      <c r="AY44" s="1">
        <f>12+12+11</f>
        <v>35</v>
      </c>
      <c r="AZ44" s="1">
        <f>7+8+6</f>
        <v>21</v>
      </c>
      <c r="BE44" s="1">
        <v>1</v>
      </c>
      <c r="BF44" s="36" t="s">
        <v>1756</v>
      </c>
      <c r="BK44" s="36">
        <v>113</v>
      </c>
      <c r="BO44" s="1">
        <v>1</v>
      </c>
      <c r="BP44" s="1">
        <f t="shared" si="32"/>
        <v>114</v>
      </c>
      <c r="BQ44" s="51">
        <f t="shared" si="33"/>
        <v>0.6</v>
      </c>
      <c r="BR44" s="52">
        <v>32481106</v>
      </c>
      <c r="BS44" s="52" t="e">
        <f>VLOOKUP(M44,#REF!,2,TRUE)*(BR44/1000000)</f>
        <v>#REF!</v>
      </c>
      <c r="BT44" s="43" t="e">
        <f>VLOOKUP(M44,#REF!,3,TRUE)*(BR44/1000000)</f>
        <v>#REF!</v>
      </c>
    </row>
    <row r="45" spans="1:72" ht="15" customHeight="1" x14ac:dyDescent="0.25">
      <c r="A45" s="6">
        <v>44488</v>
      </c>
      <c r="B45" s="35">
        <v>2022</v>
      </c>
      <c r="C45" s="36" t="s">
        <v>1014</v>
      </c>
      <c r="D45" s="37" t="s">
        <v>1761</v>
      </c>
      <c r="E45" s="1" t="s">
        <v>1876</v>
      </c>
      <c r="F45" s="37" t="s">
        <v>46</v>
      </c>
      <c r="G45" s="38">
        <v>59901</v>
      </c>
      <c r="H45" s="39">
        <v>48.210450000000002</v>
      </c>
      <c r="I45" s="39">
        <v>-114.32933</v>
      </c>
      <c r="J45" s="37" t="s">
        <v>343</v>
      </c>
      <c r="K45" s="57">
        <v>0.09</v>
      </c>
      <c r="L45" s="58" t="s">
        <v>1154</v>
      </c>
      <c r="M45" s="1" t="s">
        <v>1169</v>
      </c>
      <c r="N45" s="59" t="s">
        <v>45</v>
      </c>
      <c r="O45" s="41">
        <v>24</v>
      </c>
      <c r="P45" s="35">
        <v>1</v>
      </c>
      <c r="Q45" s="42">
        <v>4780000</v>
      </c>
      <c r="R45" s="86">
        <v>4062594</v>
      </c>
      <c r="S45" s="42"/>
      <c r="T45" s="42"/>
      <c r="W45" s="6"/>
      <c r="X45" s="6"/>
      <c r="Y45" s="8">
        <f t="shared" si="26"/>
        <v>0</v>
      </c>
      <c r="Z45" s="46" t="e">
        <f t="shared" si="27"/>
        <v>#NUM!</v>
      </c>
      <c r="AA45" s="2">
        <v>31</v>
      </c>
      <c r="AB45" s="46" t="e">
        <f t="shared" si="28"/>
        <v>#NUM!</v>
      </c>
      <c r="AC45" s="1" t="s">
        <v>1773</v>
      </c>
      <c r="AD45" s="1" t="s">
        <v>1787</v>
      </c>
      <c r="AE45" s="1" t="s">
        <v>1877</v>
      </c>
      <c r="AF45" s="1" t="s">
        <v>793</v>
      </c>
      <c r="AG45" s="1" t="s">
        <v>474</v>
      </c>
      <c r="AH45" s="36">
        <v>98101</v>
      </c>
      <c r="AI45" s="47" t="s">
        <v>1670</v>
      </c>
      <c r="AJ45" s="48">
        <v>2067456464</v>
      </c>
      <c r="AK45" s="1" t="s">
        <v>2181</v>
      </c>
      <c r="AL45" s="1" t="s">
        <v>2182</v>
      </c>
      <c r="AM45" s="1" t="s">
        <v>2183</v>
      </c>
      <c r="AN45" s="1" t="s">
        <v>46</v>
      </c>
      <c r="AO45" s="1" t="s">
        <v>472</v>
      </c>
      <c r="AP45" s="1">
        <v>59903</v>
      </c>
      <c r="AQ45" s="1" t="s">
        <v>2014</v>
      </c>
      <c r="AR45" s="1" t="s">
        <v>2184</v>
      </c>
      <c r="AS45" s="1" t="s">
        <v>2185</v>
      </c>
      <c r="AT45" s="50"/>
      <c r="AU45" s="35">
        <v>24</v>
      </c>
      <c r="AX45" s="1">
        <v>11</v>
      </c>
      <c r="AY45" s="1">
        <v>6</v>
      </c>
      <c r="AZ45" s="1">
        <v>6</v>
      </c>
      <c r="BE45" s="1">
        <v>1</v>
      </c>
      <c r="BF45" s="36" t="s">
        <v>1756</v>
      </c>
      <c r="BJ45" s="36">
        <f>6+3+3</f>
        <v>12</v>
      </c>
      <c r="BK45" s="36">
        <f>6+3+2</f>
        <v>11</v>
      </c>
      <c r="BO45" s="1">
        <v>1</v>
      </c>
      <c r="BP45" s="1">
        <f t="shared" si="32"/>
        <v>24</v>
      </c>
      <c r="BQ45" s="51">
        <f t="shared" si="33"/>
        <v>0.54782608695652169</v>
      </c>
      <c r="BR45" s="52">
        <v>5881688</v>
      </c>
      <c r="BS45" s="52" t="e">
        <f>VLOOKUP(M45,#REF!,2,TRUE)*(BR45/1000000)</f>
        <v>#REF!</v>
      </c>
      <c r="BT45" s="43" t="e">
        <f>VLOOKUP(M45,#REF!,3,TRUE)*(BR45/1000000)</f>
        <v>#REF!</v>
      </c>
    </row>
    <row r="46" spans="1:72" ht="15" customHeight="1" x14ac:dyDescent="0.25">
      <c r="A46" s="6">
        <v>44488</v>
      </c>
      <c r="B46" s="35">
        <v>2022</v>
      </c>
      <c r="C46" s="36" t="s">
        <v>1014</v>
      </c>
      <c r="D46" s="37" t="s">
        <v>1763</v>
      </c>
      <c r="E46" s="1" t="s">
        <v>1872</v>
      </c>
      <c r="F46" s="37" t="s">
        <v>1040</v>
      </c>
      <c r="G46" s="38">
        <v>59725</v>
      </c>
      <c r="H46" s="39">
        <v>45.219279999999998</v>
      </c>
      <c r="I46" s="39">
        <v>-112.63773999999999</v>
      </c>
      <c r="J46" s="37" t="s">
        <v>198</v>
      </c>
      <c r="K46" s="57">
        <v>0.09</v>
      </c>
      <c r="L46" s="58" t="s">
        <v>1154</v>
      </c>
      <c r="M46" s="1" t="s">
        <v>307</v>
      </c>
      <c r="N46" s="59" t="s">
        <v>1152</v>
      </c>
      <c r="O46" s="41">
        <v>58</v>
      </c>
      <c r="P46" s="35">
        <v>3</v>
      </c>
      <c r="Q46" s="42">
        <v>5590170</v>
      </c>
      <c r="R46" s="86">
        <v>4527585</v>
      </c>
      <c r="S46" s="42"/>
      <c r="T46" s="42"/>
      <c r="W46" s="6">
        <v>44713</v>
      </c>
      <c r="X46" s="6">
        <v>44562</v>
      </c>
      <c r="Y46" s="8">
        <f t="shared" si="26"/>
        <v>44713</v>
      </c>
      <c r="Z46" s="46">
        <f t="shared" si="27"/>
        <v>49827</v>
      </c>
      <c r="AA46" s="2">
        <v>31</v>
      </c>
      <c r="AB46" s="46">
        <f t="shared" si="28"/>
        <v>61149</v>
      </c>
      <c r="AC46" s="1" t="s">
        <v>1775</v>
      </c>
      <c r="AD46" s="1" t="s">
        <v>1788</v>
      </c>
      <c r="AE46" s="1" t="s">
        <v>1873</v>
      </c>
      <c r="AF46" s="1" t="s">
        <v>1874</v>
      </c>
      <c r="AG46" s="1" t="s">
        <v>475</v>
      </c>
      <c r="AH46" s="36">
        <v>94945</v>
      </c>
      <c r="AI46" s="47" t="s">
        <v>1796</v>
      </c>
      <c r="AJ46" s="48">
        <v>8012446658</v>
      </c>
      <c r="AK46" s="1" t="s">
        <v>2176</v>
      </c>
      <c r="AL46" s="1" t="s">
        <v>2177</v>
      </c>
      <c r="AM46" s="1" t="s">
        <v>2178</v>
      </c>
      <c r="AN46" s="1" t="s">
        <v>1040</v>
      </c>
      <c r="AO46" s="1" t="s">
        <v>472</v>
      </c>
      <c r="AP46" s="1">
        <v>59725</v>
      </c>
      <c r="AQ46" s="1" t="s">
        <v>2186</v>
      </c>
      <c r="AR46" s="1" t="s">
        <v>2179</v>
      </c>
      <c r="AS46" s="1" t="s">
        <v>2180</v>
      </c>
      <c r="AT46" s="50">
        <v>54</v>
      </c>
      <c r="AU46" s="35">
        <v>58</v>
      </c>
      <c r="AW46" s="10">
        <f>1+4+2</f>
        <v>7</v>
      </c>
      <c r="AX46" s="1">
        <v>47</v>
      </c>
      <c r="AY46" s="1">
        <f>1+2+1</f>
        <v>4</v>
      </c>
      <c r="BF46" s="36" t="s">
        <v>1756</v>
      </c>
      <c r="BI46" s="36">
        <f>1+4+1</f>
        <v>6</v>
      </c>
      <c r="BJ46" s="36">
        <v>35</v>
      </c>
      <c r="BK46" s="36">
        <v>17</v>
      </c>
      <c r="BP46" s="1">
        <f t="shared" si="32"/>
        <v>58</v>
      </c>
      <c r="BQ46" s="51">
        <f t="shared" si="33"/>
        <v>0.51896551724137929</v>
      </c>
      <c r="BR46" s="52">
        <v>8302660</v>
      </c>
      <c r="BS46" s="52" t="e">
        <f>VLOOKUP(M46,#REF!,2,TRUE)*(BR46/1000000)</f>
        <v>#REF!</v>
      </c>
      <c r="BT46" s="43" t="e">
        <f>VLOOKUP(M46,#REF!,3,TRUE)*(BR46/1000000)</f>
        <v>#REF!</v>
      </c>
    </row>
    <row r="47" spans="1:72" ht="15" customHeight="1" x14ac:dyDescent="0.25">
      <c r="A47" s="6">
        <v>44488</v>
      </c>
      <c r="B47" s="35">
        <v>2022</v>
      </c>
      <c r="C47" s="36" t="s">
        <v>1014</v>
      </c>
      <c r="D47" s="37" t="s">
        <v>1764</v>
      </c>
      <c r="E47" s="1" t="s">
        <v>1869</v>
      </c>
      <c r="F47" s="37" t="s">
        <v>65</v>
      </c>
      <c r="G47" s="38">
        <v>59405</v>
      </c>
      <c r="H47" s="39">
        <v>47.503010000000003</v>
      </c>
      <c r="I47" s="39">
        <v>-111.30055</v>
      </c>
      <c r="J47" s="37" t="s">
        <v>308</v>
      </c>
      <c r="K47" s="57">
        <v>0.09</v>
      </c>
      <c r="L47" s="58" t="s">
        <v>440</v>
      </c>
      <c r="M47" s="1" t="s">
        <v>1169</v>
      </c>
      <c r="N47" s="59" t="s">
        <v>45</v>
      </c>
      <c r="O47" s="41">
        <v>25</v>
      </c>
      <c r="P47" s="35">
        <v>1</v>
      </c>
      <c r="Q47" s="42">
        <v>6100000</v>
      </c>
      <c r="R47" s="86">
        <v>5001500</v>
      </c>
      <c r="S47" s="42"/>
      <c r="T47" s="42"/>
      <c r="W47" s="6"/>
      <c r="X47" s="6"/>
      <c r="Y47" s="8">
        <f t="shared" si="26"/>
        <v>0</v>
      </c>
      <c r="Z47" s="46" t="e">
        <f t="shared" si="27"/>
        <v>#NUM!</v>
      </c>
      <c r="AA47" s="2">
        <v>31</v>
      </c>
      <c r="AB47" s="46" t="e">
        <f t="shared" si="28"/>
        <v>#NUM!</v>
      </c>
      <c r="AC47" s="1" t="s">
        <v>1776</v>
      </c>
      <c r="AD47" s="1" t="s">
        <v>1789</v>
      </c>
      <c r="AE47" s="1" t="s">
        <v>1870</v>
      </c>
      <c r="AF47" s="1" t="s">
        <v>1783</v>
      </c>
      <c r="AG47" s="1" t="s">
        <v>472</v>
      </c>
      <c r="AH47" s="36">
        <v>59808</v>
      </c>
      <c r="AI47" s="47" t="s">
        <v>1210</v>
      </c>
      <c r="AJ47" s="48">
        <v>4065324663</v>
      </c>
      <c r="AK47" s="1" t="s">
        <v>2020</v>
      </c>
      <c r="AL47" s="1" t="s">
        <v>2022</v>
      </c>
      <c r="AM47" s="1" t="s">
        <v>2023</v>
      </c>
      <c r="AN47" s="1" t="s">
        <v>65</v>
      </c>
      <c r="AO47" s="1" t="s">
        <v>472</v>
      </c>
      <c r="AP47" s="1">
        <v>59403</v>
      </c>
      <c r="AQ47" s="1" t="s">
        <v>2186</v>
      </c>
      <c r="AR47" s="1" t="s">
        <v>2024</v>
      </c>
      <c r="AS47" s="1" t="s">
        <v>2175</v>
      </c>
      <c r="AT47" s="50">
        <v>1139</v>
      </c>
      <c r="AU47" s="35">
        <f t="shared" si="31"/>
        <v>25</v>
      </c>
      <c r="AW47" s="10">
        <v>4</v>
      </c>
      <c r="AX47" s="1">
        <v>16</v>
      </c>
      <c r="AY47" s="1">
        <v>4</v>
      </c>
      <c r="BE47" s="1">
        <v>1</v>
      </c>
      <c r="BF47" s="36" t="s">
        <v>1756</v>
      </c>
      <c r="BI47" s="36">
        <v>3</v>
      </c>
      <c r="BJ47" s="36">
        <v>16</v>
      </c>
      <c r="BK47" s="36">
        <v>5</v>
      </c>
      <c r="BO47" s="36">
        <v>1</v>
      </c>
      <c r="BP47" s="1">
        <f t="shared" si="32"/>
        <v>25</v>
      </c>
      <c r="BQ47" s="51">
        <f>((BH47*BH$1)+(BI47*BI$1)+(BJ47*BJ$1)+(BK47*BK$1)+(BL47*BL$1)+(BM47*BM$1))/SUM(BH47:BM47)</f>
        <v>0.5083333333333333</v>
      </c>
      <c r="BR47" s="52">
        <v>8726447</v>
      </c>
      <c r="BS47" s="52" t="e">
        <f>VLOOKUP(M47,#REF!,2,TRUE)*(BR47/1000000)</f>
        <v>#REF!</v>
      </c>
      <c r="BT47" s="43" t="e">
        <f>VLOOKUP(M47,#REF!,3,TRUE)*(BR47/1000000)</f>
        <v>#REF!</v>
      </c>
    </row>
    <row r="48" spans="1:72" ht="15" customHeight="1" x14ac:dyDescent="0.25">
      <c r="A48" s="6">
        <v>44488</v>
      </c>
      <c r="B48" s="35">
        <v>2022</v>
      </c>
      <c r="C48" s="36" t="s">
        <v>1014</v>
      </c>
      <c r="D48" s="37" t="s">
        <v>1766</v>
      </c>
      <c r="E48" s="1" t="s">
        <v>1866</v>
      </c>
      <c r="F48" s="37" t="s">
        <v>192</v>
      </c>
      <c r="G48" s="38">
        <v>59101</v>
      </c>
      <c r="H48" s="39">
        <v>45.778410000000001</v>
      </c>
      <c r="I48" s="39">
        <v>-108.50557000000001</v>
      </c>
      <c r="J48" s="37" t="s">
        <v>300</v>
      </c>
      <c r="K48" s="57">
        <v>0.09</v>
      </c>
      <c r="L48" s="58" t="s">
        <v>440</v>
      </c>
      <c r="M48" s="1" t="s">
        <v>1169</v>
      </c>
      <c r="N48" s="59" t="s">
        <v>45</v>
      </c>
      <c r="O48" s="41">
        <v>26</v>
      </c>
      <c r="P48" s="35">
        <v>1</v>
      </c>
      <c r="Q48" s="42">
        <v>6200000</v>
      </c>
      <c r="R48" s="86">
        <v>5331467</v>
      </c>
      <c r="S48" s="42"/>
      <c r="T48" s="42"/>
      <c r="W48" s="6"/>
      <c r="X48" s="6"/>
      <c r="Y48" s="8">
        <f t="shared" si="26"/>
        <v>0</v>
      </c>
      <c r="Z48" s="46" t="e">
        <f t="shared" si="27"/>
        <v>#NUM!</v>
      </c>
      <c r="AA48" s="2">
        <v>31</v>
      </c>
      <c r="AB48" s="46" t="e">
        <f t="shared" si="28"/>
        <v>#NUM!</v>
      </c>
      <c r="AC48" s="1" t="s">
        <v>1779</v>
      </c>
      <c r="AD48" s="1" t="s">
        <v>1790</v>
      </c>
      <c r="AE48" s="1" t="s">
        <v>1867</v>
      </c>
      <c r="AF48" s="1" t="s">
        <v>192</v>
      </c>
      <c r="AG48" s="1" t="s">
        <v>472</v>
      </c>
      <c r="AH48" s="36">
        <v>59103</v>
      </c>
      <c r="AI48" s="47" t="s">
        <v>1797</v>
      </c>
      <c r="AJ48" s="48">
        <v>4068611528</v>
      </c>
      <c r="AK48" s="1" t="s">
        <v>2172</v>
      </c>
      <c r="AL48" s="1" t="s">
        <v>2061</v>
      </c>
      <c r="AM48" s="1" t="s">
        <v>2062</v>
      </c>
      <c r="AN48" s="1" t="s">
        <v>192</v>
      </c>
      <c r="AO48" s="1" t="s">
        <v>472</v>
      </c>
      <c r="AP48" s="1">
        <v>59101</v>
      </c>
      <c r="AQ48" s="1" t="s">
        <v>2186</v>
      </c>
      <c r="AR48" s="1" t="s">
        <v>2174</v>
      </c>
      <c r="AS48" s="1" t="s">
        <v>2173</v>
      </c>
      <c r="AT48" s="50">
        <v>1423</v>
      </c>
      <c r="AU48" s="35">
        <f t="shared" si="31"/>
        <v>26</v>
      </c>
      <c r="AW48" s="10"/>
      <c r="AX48" s="1">
        <v>14</v>
      </c>
      <c r="AY48" s="1">
        <v>12</v>
      </c>
      <c r="BF48" s="36" t="s">
        <v>1756</v>
      </c>
      <c r="BI48" s="36">
        <v>3</v>
      </c>
      <c r="BJ48" s="36">
        <v>16</v>
      </c>
      <c r="BK48" s="36">
        <v>7</v>
      </c>
      <c r="BP48" s="1">
        <f t="shared" si="32"/>
        <v>26</v>
      </c>
      <c r="BQ48" s="51">
        <f t="shared" si="33"/>
        <v>0.51538461538461533</v>
      </c>
      <c r="BR48" s="52">
        <v>7262665</v>
      </c>
      <c r="BS48" s="52" t="e">
        <f>VLOOKUP(M48,#REF!,2,TRUE)*(BR48/1000000)</f>
        <v>#REF!</v>
      </c>
      <c r="BT48" s="43" t="e">
        <f>VLOOKUP(M48,#REF!,3,TRUE)*(BR48/1000000)</f>
        <v>#REF!</v>
      </c>
    </row>
    <row r="49" spans="1:72" ht="15" customHeight="1" x14ac:dyDescent="0.25">
      <c r="A49" s="8">
        <v>44522</v>
      </c>
      <c r="B49" s="36">
        <v>2021</v>
      </c>
      <c r="C49" s="36" t="s">
        <v>1014</v>
      </c>
      <c r="D49" s="1" t="s">
        <v>1988</v>
      </c>
      <c r="E49" s="1" t="s">
        <v>1360</v>
      </c>
      <c r="F49" s="1" t="s">
        <v>195</v>
      </c>
      <c r="G49" s="38">
        <v>59715</v>
      </c>
      <c r="H49" s="39">
        <v>45.692160000000001</v>
      </c>
      <c r="I49" s="39">
        <v>-111.07161000000001</v>
      </c>
      <c r="J49" s="1" t="s">
        <v>314</v>
      </c>
      <c r="K49" s="40">
        <v>0.04</v>
      </c>
      <c r="L49" s="36" t="s">
        <v>453</v>
      </c>
      <c r="M49" s="1" t="s">
        <v>307</v>
      </c>
      <c r="N49" s="36" t="s">
        <v>45</v>
      </c>
      <c r="O49" s="41">
        <v>72</v>
      </c>
      <c r="P49" s="36">
        <v>13</v>
      </c>
      <c r="Q49" s="43">
        <v>5673470</v>
      </c>
      <c r="R49" s="43">
        <v>5049388</v>
      </c>
      <c r="S49" s="43">
        <v>13525000</v>
      </c>
      <c r="T49" s="43">
        <v>10525000</v>
      </c>
      <c r="U49" s="53">
        <v>4.1799999999999997E-2</v>
      </c>
      <c r="V49" s="45">
        <v>40</v>
      </c>
      <c r="W49" s="8">
        <v>45132</v>
      </c>
      <c r="X49" s="8">
        <v>2023</v>
      </c>
      <c r="Y49" s="8">
        <f t="shared" si="26"/>
        <v>45132</v>
      </c>
      <c r="Z49" s="46">
        <f t="shared" si="27"/>
        <v>50246</v>
      </c>
      <c r="AA49" s="4">
        <v>31</v>
      </c>
      <c r="AB49" s="46">
        <f t="shared" si="28"/>
        <v>61569</v>
      </c>
      <c r="AC49" s="1" t="s">
        <v>1892</v>
      </c>
      <c r="AD49" s="1" t="s">
        <v>1893</v>
      </c>
      <c r="AE49" s="1" t="s">
        <v>1894</v>
      </c>
      <c r="AF49" s="1" t="s">
        <v>1895</v>
      </c>
      <c r="AG49" s="1" t="s">
        <v>474</v>
      </c>
      <c r="AH49" s="36">
        <v>98004</v>
      </c>
      <c r="AI49" s="87" t="s">
        <v>1896</v>
      </c>
      <c r="AJ49" s="48">
        <v>4254587369</v>
      </c>
      <c r="AT49" s="56">
        <v>834</v>
      </c>
      <c r="AU49" s="35">
        <f t="shared" si="31"/>
        <v>72</v>
      </c>
      <c r="AY49" s="1">
        <v>56</v>
      </c>
      <c r="AZ49" s="1">
        <v>16</v>
      </c>
      <c r="BF49" s="36" t="s">
        <v>1756</v>
      </c>
      <c r="BK49" s="36">
        <v>72</v>
      </c>
      <c r="BP49" s="1">
        <f t="shared" si="32"/>
        <v>72</v>
      </c>
      <c r="BQ49" s="51">
        <f t="shared" si="33"/>
        <v>0.6</v>
      </c>
      <c r="BR49" s="52">
        <v>18023105</v>
      </c>
      <c r="BS49" s="52" t="e">
        <f>VLOOKUP(M49,#REF!,2,TRUE)*(BR49/1000000)</f>
        <v>#REF!</v>
      </c>
      <c r="BT49" s="43" t="e">
        <f>VLOOKUP(M49,#REF!,3,TRUE)*(BR49/1000000)</f>
        <v>#REF!</v>
      </c>
    </row>
    <row r="50" spans="1:72" ht="30" x14ac:dyDescent="0.25">
      <c r="A50" s="6">
        <v>44378</v>
      </c>
      <c r="B50" s="35">
        <v>2021</v>
      </c>
      <c r="C50" s="36" t="s">
        <v>1014</v>
      </c>
      <c r="D50" s="37" t="s">
        <v>1746</v>
      </c>
      <c r="E50" s="1" t="s">
        <v>1654</v>
      </c>
      <c r="F50" s="37" t="s">
        <v>912</v>
      </c>
      <c r="G50" s="38">
        <v>59840</v>
      </c>
      <c r="H50" s="39">
        <v>46.256549999999997</v>
      </c>
      <c r="I50" s="39">
        <v>-114.14425</v>
      </c>
      <c r="J50" s="37" t="s">
        <v>356</v>
      </c>
      <c r="K50" s="57">
        <v>0.04</v>
      </c>
      <c r="L50" s="58" t="s">
        <v>1154</v>
      </c>
      <c r="M50" s="1" t="s">
        <v>307</v>
      </c>
      <c r="N50" s="59" t="s">
        <v>45</v>
      </c>
      <c r="O50" s="41">
        <v>36</v>
      </c>
      <c r="P50" s="35">
        <v>8</v>
      </c>
      <c r="Q50" s="42">
        <v>2326327</v>
      </c>
      <c r="R50" s="86">
        <v>1965549.5</v>
      </c>
      <c r="S50" s="42">
        <v>3713195</v>
      </c>
      <c r="T50" s="42">
        <v>2596154</v>
      </c>
      <c r="U50" s="53">
        <v>0.04</v>
      </c>
      <c r="V50" s="45">
        <v>40</v>
      </c>
      <c r="W50" s="6"/>
      <c r="X50" s="6"/>
      <c r="Y50" s="8">
        <f t="shared" si="26"/>
        <v>0</v>
      </c>
      <c r="Z50" s="46" t="e">
        <f t="shared" si="27"/>
        <v>#NUM!</v>
      </c>
      <c r="AA50" s="2">
        <v>31</v>
      </c>
      <c r="AB50" s="46" t="e">
        <f t="shared" si="28"/>
        <v>#NUM!</v>
      </c>
      <c r="AC50" s="1" t="s">
        <v>1625</v>
      </c>
      <c r="AD50" s="1" t="s">
        <v>1831</v>
      </c>
      <c r="AE50" s="1" t="s">
        <v>1645</v>
      </c>
      <c r="AF50" s="1" t="s">
        <v>338</v>
      </c>
      <c r="AG50" s="1" t="s">
        <v>472</v>
      </c>
      <c r="AH50" s="36">
        <v>59802</v>
      </c>
      <c r="AI50" s="87" t="s">
        <v>1832</v>
      </c>
      <c r="AJ50" s="48">
        <v>4069604870</v>
      </c>
      <c r="AT50" s="50">
        <v>3</v>
      </c>
      <c r="AU50" s="35">
        <f t="shared" si="31"/>
        <v>36</v>
      </c>
      <c r="AW50" s="10"/>
      <c r="AY50" s="1">
        <v>24</v>
      </c>
      <c r="AZ50" s="1">
        <v>12</v>
      </c>
      <c r="BF50" s="36" t="s">
        <v>1756</v>
      </c>
      <c r="BJ50" s="36">
        <v>22</v>
      </c>
      <c r="BK50" s="36">
        <v>14</v>
      </c>
      <c r="BP50" s="1">
        <f t="shared" si="32"/>
        <v>36</v>
      </c>
      <c r="BQ50" s="51">
        <f t="shared" si="33"/>
        <v>0.53888888888888886</v>
      </c>
      <c r="BR50" s="52">
        <v>6588552</v>
      </c>
      <c r="BS50" s="52" t="e">
        <f>VLOOKUP(M50,#REF!,2,TRUE)*(BR50/1000000)</f>
        <v>#REF!</v>
      </c>
      <c r="BT50" s="43" t="e">
        <f>VLOOKUP(M50,#REF!,3,TRUE)*(BR50/1000000)</f>
        <v>#REF!</v>
      </c>
    </row>
    <row r="51" spans="1:72" ht="30" x14ac:dyDescent="0.25">
      <c r="A51" s="6">
        <v>44378</v>
      </c>
      <c r="B51" s="35">
        <v>2021</v>
      </c>
      <c r="C51" s="36" t="s">
        <v>1014</v>
      </c>
      <c r="D51" s="37" t="s">
        <v>1747</v>
      </c>
      <c r="E51" s="1" t="s">
        <v>1655</v>
      </c>
      <c r="F51" s="37" t="s">
        <v>1043</v>
      </c>
      <c r="G51" s="38">
        <v>59829</v>
      </c>
      <c r="H51" s="39">
        <v>46.024560000000001</v>
      </c>
      <c r="I51" s="39">
        <v>-114.18437</v>
      </c>
      <c r="J51" s="37" t="s">
        <v>356</v>
      </c>
      <c r="K51" s="57">
        <v>0.04</v>
      </c>
      <c r="L51" s="58" t="s">
        <v>1154</v>
      </c>
      <c r="M51" s="1" t="s">
        <v>307</v>
      </c>
      <c r="N51" s="59" t="s">
        <v>45</v>
      </c>
      <c r="O51" s="41">
        <v>16</v>
      </c>
      <c r="P51" s="35">
        <v>4</v>
      </c>
      <c r="Q51" s="42">
        <v>1033923</v>
      </c>
      <c r="R51" s="86">
        <v>873577.5</v>
      </c>
      <c r="S51" s="42">
        <v>1650309</v>
      </c>
      <c r="T51" s="42">
        <v>1153846</v>
      </c>
      <c r="U51" s="53">
        <v>0.04</v>
      </c>
      <c r="V51" s="45">
        <v>40</v>
      </c>
      <c r="W51" s="6"/>
      <c r="X51" s="6"/>
      <c r="Y51" s="8">
        <f t="shared" si="26"/>
        <v>0</v>
      </c>
      <c r="Z51" s="46" t="e">
        <f t="shared" si="27"/>
        <v>#NUM!</v>
      </c>
      <c r="AA51" s="2">
        <v>31</v>
      </c>
      <c r="AB51" s="46" t="e">
        <f t="shared" si="28"/>
        <v>#NUM!</v>
      </c>
      <c r="AC51" s="1" t="s">
        <v>1625</v>
      </c>
      <c r="AD51" s="1" t="s">
        <v>1831</v>
      </c>
      <c r="AE51" s="1" t="s">
        <v>1645</v>
      </c>
      <c r="AF51" s="1" t="s">
        <v>338</v>
      </c>
      <c r="AG51" s="1" t="s">
        <v>472</v>
      </c>
      <c r="AH51" s="36">
        <v>59802</v>
      </c>
      <c r="AI51" s="87" t="s">
        <v>1832</v>
      </c>
      <c r="AJ51" s="1">
        <v>4069604870</v>
      </c>
      <c r="AT51" s="50">
        <v>3</v>
      </c>
      <c r="AU51" s="35">
        <f t="shared" si="31"/>
        <v>16</v>
      </c>
      <c r="AW51" s="10"/>
      <c r="AY51" s="1">
        <v>16</v>
      </c>
      <c r="BF51" s="36" t="s">
        <v>1756</v>
      </c>
      <c r="BK51" s="36">
        <v>16</v>
      </c>
      <c r="BP51" s="1">
        <f t="shared" si="32"/>
        <v>16</v>
      </c>
      <c r="BQ51" s="51">
        <f t="shared" si="33"/>
        <v>0.6</v>
      </c>
      <c r="BR51" s="52">
        <v>2928245</v>
      </c>
      <c r="BS51" s="52" t="e">
        <f>VLOOKUP(M51,#REF!,2,TRUE)*(BR51/1000000)</f>
        <v>#REF!</v>
      </c>
      <c r="BT51" s="43" t="e">
        <f>VLOOKUP(M51,#REF!,3,TRUE)*(BR51/1000000)</f>
        <v>#REF!</v>
      </c>
    </row>
    <row r="52" spans="1:72" ht="15" customHeight="1" x14ac:dyDescent="0.25">
      <c r="A52" s="6">
        <v>44375</v>
      </c>
      <c r="B52" s="35">
        <v>2021</v>
      </c>
      <c r="C52" s="36" t="s">
        <v>1014</v>
      </c>
      <c r="D52" s="37" t="s">
        <v>1823</v>
      </c>
      <c r="E52" s="1" t="s">
        <v>1824</v>
      </c>
      <c r="F52" s="37" t="s">
        <v>338</v>
      </c>
      <c r="G52" s="38" t="s">
        <v>1825</v>
      </c>
      <c r="H52" s="39">
        <v>46.885144031325503</v>
      </c>
      <c r="I52" s="39">
        <v>-114.01455018832399</v>
      </c>
      <c r="J52" s="37" t="s">
        <v>338</v>
      </c>
      <c r="K52" s="57">
        <v>0.04</v>
      </c>
      <c r="L52" s="58" t="s">
        <v>440</v>
      </c>
      <c r="M52" s="1" t="s">
        <v>1169</v>
      </c>
      <c r="N52" s="59" t="s">
        <v>45</v>
      </c>
      <c r="O52" s="41">
        <v>202</v>
      </c>
      <c r="P52" s="35">
        <v>5</v>
      </c>
      <c r="Q52" s="42">
        <v>24425730</v>
      </c>
      <c r="R52" s="86">
        <v>21738924</v>
      </c>
      <c r="S52" s="42">
        <v>36000000</v>
      </c>
      <c r="T52" s="42">
        <v>20775000</v>
      </c>
      <c r="U52" s="53">
        <v>3.5400000000000001E-2</v>
      </c>
      <c r="V52" s="45">
        <v>35</v>
      </c>
      <c r="W52" s="6">
        <v>44927</v>
      </c>
      <c r="X52" s="6">
        <v>44927</v>
      </c>
      <c r="Y52" s="8">
        <f t="shared" si="26"/>
        <v>44927</v>
      </c>
      <c r="Z52" s="46">
        <f t="shared" si="27"/>
        <v>50041</v>
      </c>
      <c r="AA52" s="2">
        <v>31</v>
      </c>
      <c r="AB52" s="46">
        <f t="shared" si="28"/>
        <v>61363</v>
      </c>
      <c r="AC52" s="1" t="s">
        <v>1826</v>
      </c>
      <c r="AD52" s="1" t="s">
        <v>1829</v>
      </c>
      <c r="AE52" s="1" t="s">
        <v>1209</v>
      </c>
      <c r="AF52" s="1" t="s">
        <v>338</v>
      </c>
      <c r="AG52" s="1" t="s">
        <v>472</v>
      </c>
      <c r="AH52" s="36">
        <v>59808</v>
      </c>
      <c r="AI52" s="87" t="s">
        <v>1795</v>
      </c>
      <c r="AJ52" s="1">
        <v>4062148145</v>
      </c>
      <c r="AT52" s="50">
        <v>1168</v>
      </c>
      <c r="AU52" s="35">
        <f t="shared" si="31"/>
        <v>202</v>
      </c>
      <c r="AW52" s="10"/>
      <c r="AX52" s="1">
        <v>100</v>
      </c>
      <c r="AY52" s="1">
        <v>60</v>
      </c>
      <c r="AZ52" s="1">
        <v>23</v>
      </c>
      <c r="BA52" s="1">
        <v>6</v>
      </c>
      <c r="BC52" s="1">
        <v>12</v>
      </c>
      <c r="BE52" s="1">
        <v>1</v>
      </c>
      <c r="BF52" s="36" t="s">
        <v>1755</v>
      </c>
      <c r="BH52" s="36">
        <v>30</v>
      </c>
      <c r="BJ52" s="36">
        <v>11</v>
      </c>
      <c r="BK52" s="36">
        <v>130</v>
      </c>
      <c r="BL52" s="36">
        <v>30</v>
      </c>
      <c r="BO52" s="36">
        <v>1</v>
      </c>
      <c r="BP52" s="1">
        <f t="shared" si="32"/>
        <v>202</v>
      </c>
      <c r="BQ52" s="51">
        <f t="shared" si="33"/>
        <v>0.56467661691542292</v>
      </c>
      <c r="BR52" s="52">
        <v>55181446</v>
      </c>
      <c r="BS52" s="52" t="e">
        <f>VLOOKUP(M52,#REF!,2,TRUE)*(BR52/1000000)</f>
        <v>#REF!</v>
      </c>
      <c r="BT52" s="43" t="e">
        <f>VLOOKUP(M52,#REF!,3,TRUE)*(BR52/1000000)</f>
        <v>#REF!</v>
      </c>
    </row>
    <row r="53" spans="1:72" ht="15" customHeight="1" x14ac:dyDescent="0.25">
      <c r="A53" s="6">
        <v>44317</v>
      </c>
      <c r="B53" s="35">
        <v>2021</v>
      </c>
      <c r="C53" s="36" t="s">
        <v>1014</v>
      </c>
      <c r="D53" s="37" t="s">
        <v>1817</v>
      </c>
      <c r="E53" s="1" t="s">
        <v>1820</v>
      </c>
      <c r="F53" s="37" t="s">
        <v>338</v>
      </c>
      <c r="G53" s="38">
        <v>59802</v>
      </c>
      <c r="H53" s="39">
        <v>46.891664616781704</v>
      </c>
      <c r="I53" s="39">
        <v>-114.006818857643</v>
      </c>
      <c r="J53" s="37" t="s">
        <v>338</v>
      </c>
      <c r="K53" s="57">
        <v>0.04</v>
      </c>
      <c r="L53" s="58" t="s">
        <v>440</v>
      </c>
      <c r="M53" s="1" t="s">
        <v>1169</v>
      </c>
      <c r="N53" s="59" t="s">
        <v>45</v>
      </c>
      <c r="O53" s="41">
        <v>200</v>
      </c>
      <c r="P53" s="35">
        <v>2</v>
      </c>
      <c r="Q53" s="42">
        <v>29254570</v>
      </c>
      <c r="R53" s="86">
        <v>24863898</v>
      </c>
      <c r="S53" s="42">
        <v>43000000</v>
      </c>
      <c r="T53" s="42">
        <v>25175000</v>
      </c>
      <c r="U53" s="53">
        <v>3.5400000000000001E-2</v>
      </c>
      <c r="V53" s="45">
        <v>35</v>
      </c>
      <c r="W53" s="6"/>
      <c r="X53" s="6"/>
      <c r="Y53" s="8">
        <f t="shared" si="26"/>
        <v>0</v>
      </c>
      <c r="Z53" s="46" t="e">
        <f t="shared" si="27"/>
        <v>#NUM!</v>
      </c>
      <c r="AA53" s="2">
        <v>31</v>
      </c>
      <c r="AB53" s="46" t="e">
        <f t="shared" si="28"/>
        <v>#NUM!</v>
      </c>
      <c r="AC53" s="1" t="s">
        <v>1827</v>
      </c>
      <c r="AD53" s="1" t="s">
        <v>1828</v>
      </c>
      <c r="AE53" s="1" t="s">
        <v>506</v>
      </c>
      <c r="AF53" s="1" t="s">
        <v>338</v>
      </c>
      <c r="AG53" s="1" t="s">
        <v>472</v>
      </c>
      <c r="AH53" s="36">
        <v>59801</v>
      </c>
      <c r="AI53" s="87" t="s">
        <v>1821</v>
      </c>
      <c r="AJ53" s="1">
        <v>4065494113</v>
      </c>
      <c r="AT53" s="50">
        <v>1351</v>
      </c>
      <c r="AU53" s="35">
        <f t="shared" si="31"/>
        <v>200</v>
      </c>
      <c r="AW53" s="10"/>
      <c r="AY53" s="1">
        <v>93</v>
      </c>
      <c r="AZ53" s="1">
        <v>100</v>
      </c>
      <c r="BA53" s="1">
        <v>6</v>
      </c>
      <c r="BE53" s="1">
        <v>1</v>
      </c>
      <c r="BF53" s="36" t="s">
        <v>1756</v>
      </c>
      <c r="BH53" s="36">
        <v>18</v>
      </c>
      <c r="BJ53" s="36">
        <v>14</v>
      </c>
      <c r="BK53" s="36">
        <v>167</v>
      </c>
      <c r="BO53" s="1">
        <v>1</v>
      </c>
      <c r="BP53" s="1">
        <f t="shared" si="32"/>
        <v>200</v>
      </c>
      <c r="BQ53" s="51">
        <f t="shared" si="33"/>
        <v>0.56582914572864318</v>
      </c>
      <c r="BR53" s="52">
        <v>61875619</v>
      </c>
      <c r="BS53" s="52" t="e">
        <f>VLOOKUP(M53,#REF!,2,TRUE)*(BR53/1000000)</f>
        <v>#REF!</v>
      </c>
      <c r="BT53" s="43" t="e">
        <f>VLOOKUP(M53,#REF!,3,TRUE)*(BR53/1000000)</f>
        <v>#REF!</v>
      </c>
    </row>
    <row r="54" spans="1:72" ht="15" customHeight="1" x14ac:dyDescent="0.25">
      <c r="A54" s="6">
        <v>44257</v>
      </c>
      <c r="B54" s="35">
        <v>2021</v>
      </c>
      <c r="C54" s="36" t="s">
        <v>1014</v>
      </c>
      <c r="D54" s="37" t="s">
        <v>1816</v>
      </c>
      <c r="E54" s="1" t="s">
        <v>1818</v>
      </c>
      <c r="F54" s="37" t="s">
        <v>195</v>
      </c>
      <c r="G54" s="38">
        <v>59715</v>
      </c>
      <c r="H54" s="39">
        <v>45.678226866439601</v>
      </c>
      <c r="I54" s="39">
        <v>-111.03745104417899</v>
      </c>
      <c r="J54" s="37" t="s">
        <v>314</v>
      </c>
      <c r="K54" s="57">
        <v>0.04</v>
      </c>
      <c r="L54" s="58" t="s">
        <v>440</v>
      </c>
      <c r="M54" s="1" t="s">
        <v>307</v>
      </c>
      <c r="N54" s="59" t="s">
        <v>45</v>
      </c>
      <c r="O54" s="41">
        <v>41</v>
      </c>
      <c r="P54" s="35">
        <v>1</v>
      </c>
      <c r="Q54" s="42">
        <v>4837810</v>
      </c>
      <c r="R54" s="86">
        <v>4918069</v>
      </c>
      <c r="S54" s="42">
        <v>7000000</v>
      </c>
      <c r="T54" s="42">
        <v>4165000</v>
      </c>
      <c r="W54" s="6">
        <v>44855</v>
      </c>
      <c r="X54" s="6">
        <v>44866</v>
      </c>
      <c r="Y54" s="8">
        <f t="shared" si="26"/>
        <v>44866</v>
      </c>
      <c r="Z54" s="46">
        <f t="shared" si="27"/>
        <v>49980</v>
      </c>
      <c r="AA54" s="2">
        <v>40</v>
      </c>
      <c r="AB54" s="46">
        <f t="shared" si="28"/>
        <v>64590</v>
      </c>
      <c r="AC54" s="1" t="s">
        <v>1809</v>
      </c>
      <c r="AD54" s="1" t="s">
        <v>1810</v>
      </c>
      <c r="AE54" s="1" t="s">
        <v>1819</v>
      </c>
      <c r="AF54" s="1" t="s">
        <v>195</v>
      </c>
      <c r="AG54" s="1" t="s">
        <v>472</v>
      </c>
      <c r="AH54" s="36">
        <v>59715</v>
      </c>
      <c r="AI54" s="87" t="s">
        <v>1811</v>
      </c>
      <c r="AJ54" s="1">
        <v>4064146500</v>
      </c>
      <c r="AT54" s="50">
        <v>1761</v>
      </c>
      <c r="AU54" s="35">
        <f t="shared" si="31"/>
        <v>41</v>
      </c>
      <c r="AW54" s="10">
        <v>2</v>
      </c>
      <c r="AX54" s="1">
        <v>33</v>
      </c>
      <c r="AY54" s="1">
        <v>6</v>
      </c>
      <c r="BF54" s="36" t="s">
        <v>1756</v>
      </c>
      <c r="BK54" s="36">
        <v>41</v>
      </c>
      <c r="BP54" s="1">
        <f t="shared" si="32"/>
        <v>41</v>
      </c>
      <c r="BQ54" s="51">
        <f t="shared" si="33"/>
        <v>0.6</v>
      </c>
      <c r="BR54" s="52">
        <v>11478894</v>
      </c>
      <c r="BS54" s="52" t="e">
        <f>VLOOKUP(M54,#REF!,2,TRUE)*(BR54/1000000)</f>
        <v>#REF!</v>
      </c>
      <c r="BT54" s="43" t="e">
        <f>VLOOKUP(M54,#REF!,3,TRUE)*(BR54/1000000)</f>
        <v>#REF!</v>
      </c>
    </row>
    <row r="55" spans="1:72" ht="15" customHeight="1" x14ac:dyDescent="0.25">
      <c r="A55" s="6">
        <v>44257</v>
      </c>
      <c r="B55" s="35">
        <v>2021</v>
      </c>
      <c r="C55" s="36" t="s">
        <v>1014</v>
      </c>
      <c r="D55" s="37" t="s">
        <v>1815</v>
      </c>
      <c r="E55" s="1" t="s">
        <v>1814</v>
      </c>
      <c r="F55" s="37" t="s">
        <v>195</v>
      </c>
      <c r="G55" s="38">
        <v>59047</v>
      </c>
      <c r="H55" s="39">
        <v>45.686318559786599</v>
      </c>
      <c r="I55" s="39">
        <v>-111.043527488354</v>
      </c>
      <c r="J55" s="37" t="s">
        <v>314</v>
      </c>
      <c r="K55" s="57">
        <v>0.04</v>
      </c>
      <c r="L55" s="58" t="s">
        <v>440</v>
      </c>
      <c r="M55" s="1" t="s">
        <v>307</v>
      </c>
      <c r="N55" s="59" t="s">
        <v>1152</v>
      </c>
      <c r="O55" s="41">
        <v>100</v>
      </c>
      <c r="P55" s="35">
        <v>1</v>
      </c>
      <c r="Q55" s="42">
        <v>8165290</v>
      </c>
      <c r="R55" s="86">
        <v>4579251</v>
      </c>
      <c r="S55" s="42">
        <v>16137567</v>
      </c>
      <c r="T55" s="42">
        <v>12930000</v>
      </c>
      <c r="W55" s="6">
        <v>44838</v>
      </c>
      <c r="X55" s="6">
        <v>44866</v>
      </c>
      <c r="Y55" s="8">
        <f t="shared" si="26"/>
        <v>44866</v>
      </c>
      <c r="Z55" s="46">
        <f t="shared" si="27"/>
        <v>49980</v>
      </c>
      <c r="AA55" s="2">
        <v>40</v>
      </c>
      <c r="AB55" s="46">
        <f t="shared" si="28"/>
        <v>64590</v>
      </c>
      <c r="AC55" s="1" t="s">
        <v>1809</v>
      </c>
      <c r="AD55" s="1" t="s">
        <v>1810</v>
      </c>
      <c r="AE55" s="1" t="s">
        <v>1819</v>
      </c>
      <c r="AF55" s="1" t="s">
        <v>195</v>
      </c>
      <c r="AG55" s="1" t="s">
        <v>472</v>
      </c>
      <c r="AH55" s="36">
        <v>59715</v>
      </c>
      <c r="AI55" s="87" t="s">
        <v>1811</v>
      </c>
      <c r="AJ55" s="1">
        <v>4064146500</v>
      </c>
      <c r="AT55" s="50">
        <v>72</v>
      </c>
      <c r="AU55" s="35">
        <f t="shared" si="31"/>
        <v>100</v>
      </c>
      <c r="AW55" s="10">
        <f>27+5</f>
        <v>32</v>
      </c>
      <c r="AX55" s="1">
        <f>61+7</f>
        <v>68</v>
      </c>
      <c r="BF55" s="36" t="s">
        <v>1756</v>
      </c>
      <c r="BK55" s="36">
        <v>100</v>
      </c>
      <c r="BP55" s="1">
        <f t="shared" si="32"/>
        <v>100</v>
      </c>
      <c r="BQ55" s="51">
        <f t="shared" si="33"/>
        <v>0.6</v>
      </c>
      <c r="BR55" s="52">
        <v>19979566</v>
      </c>
      <c r="BS55" s="52" t="e">
        <f>VLOOKUP(M55,#REF!,2,TRUE)*(BR55/1000000)</f>
        <v>#REF!</v>
      </c>
      <c r="BT55" s="43" t="e">
        <f>VLOOKUP(M55,#REF!,3,TRUE)*(BR55/1000000)</f>
        <v>#REF!</v>
      </c>
    </row>
    <row r="56" spans="1:72" ht="15" customHeight="1" x14ac:dyDescent="0.25">
      <c r="A56" s="6">
        <v>44257</v>
      </c>
      <c r="B56" s="35">
        <v>2021</v>
      </c>
      <c r="C56" s="36" t="s">
        <v>1014</v>
      </c>
      <c r="D56" s="37" t="s">
        <v>1741</v>
      </c>
      <c r="E56" s="1" t="s">
        <v>1808</v>
      </c>
      <c r="F56" s="37" t="s">
        <v>989</v>
      </c>
      <c r="G56" s="38">
        <v>59047</v>
      </c>
      <c r="H56" s="39">
        <v>45.660622643914799</v>
      </c>
      <c r="I56" s="39">
        <v>-110.560580973014</v>
      </c>
      <c r="J56" s="37" t="s">
        <v>412</v>
      </c>
      <c r="K56" s="57">
        <v>0.04</v>
      </c>
      <c r="L56" s="58" t="s">
        <v>440</v>
      </c>
      <c r="M56" s="1" t="s">
        <v>307</v>
      </c>
      <c r="N56" s="59" t="s">
        <v>1152</v>
      </c>
      <c r="O56" s="41">
        <v>40</v>
      </c>
      <c r="P56" s="35">
        <v>1</v>
      </c>
      <c r="Q56" s="42">
        <v>3488140</v>
      </c>
      <c r="R56" s="86">
        <v>3209477</v>
      </c>
      <c r="S56" s="42">
        <v>6455026</v>
      </c>
      <c r="T56" s="42">
        <v>2920000</v>
      </c>
      <c r="W56" s="6">
        <v>44715</v>
      </c>
      <c r="X56" s="6">
        <v>44743</v>
      </c>
      <c r="Y56" s="8">
        <f t="shared" si="26"/>
        <v>44743</v>
      </c>
      <c r="Z56" s="46">
        <f t="shared" si="27"/>
        <v>49857</v>
      </c>
      <c r="AA56" s="2">
        <v>40</v>
      </c>
      <c r="AB56" s="46">
        <f t="shared" si="28"/>
        <v>64467</v>
      </c>
      <c r="AC56" s="1" t="s">
        <v>1809</v>
      </c>
      <c r="AD56" s="1" t="s">
        <v>1810</v>
      </c>
      <c r="AE56" s="1" t="s">
        <v>1819</v>
      </c>
      <c r="AF56" s="1" t="s">
        <v>195</v>
      </c>
      <c r="AG56" s="1" t="s">
        <v>472</v>
      </c>
      <c r="AH56" s="36">
        <v>59715</v>
      </c>
      <c r="AI56" s="87" t="s">
        <v>1811</v>
      </c>
      <c r="AJ56" s="1">
        <v>4064146500</v>
      </c>
      <c r="AT56" s="50">
        <v>12</v>
      </c>
      <c r="AU56" s="35">
        <f t="shared" si="31"/>
        <v>40</v>
      </c>
      <c r="AW56" s="10">
        <v>5</v>
      </c>
      <c r="AX56" s="1">
        <v>34</v>
      </c>
      <c r="AY56" s="1">
        <v>1</v>
      </c>
      <c r="BF56" s="36" t="s">
        <v>1756</v>
      </c>
      <c r="BK56" s="36">
        <v>40</v>
      </c>
      <c r="BP56" s="1">
        <f t="shared" si="32"/>
        <v>40</v>
      </c>
      <c r="BQ56" s="51">
        <f t="shared" si="33"/>
        <v>0.6</v>
      </c>
      <c r="BR56" s="52">
        <v>8535299</v>
      </c>
      <c r="BS56" s="52" t="e">
        <f>VLOOKUP(M56,#REF!,2,TRUE)*(BR56/1000000)</f>
        <v>#REF!</v>
      </c>
      <c r="BT56" s="43" t="e">
        <f>VLOOKUP(M56,#REF!,3,TRUE)*(BR56/1000000)</f>
        <v>#REF!</v>
      </c>
    </row>
    <row r="57" spans="1:72" ht="15" customHeight="1" x14ac:dyDescent="0.25">
      <c r="A57" s="6">
        <v>44257</v>
      </c>
      <c r="B57" s="35">
        <v>2021</v>
      </c>
      <c r="C57" s="36" t="s">
        <v>1014</v>
      </c>
      <c r="D57" s="37" t="s">
        <v>1813</v>
      </c>
      <c r="E57" s="1" t="s">
        <v>1812</v>
      </c>
      <c r="F57" s="37" t="s">
        <v>989</v>
      </c>
      <c r="G57" s="38">
        <v>59047</v>
      </c>
      <c r="H57" s="39">
        <v>45.659043343559503</v>
      </c>
      <c r="I57" s="39">
        <v>-110.556579915344</v>
      </c>
      <c r="J57" s="37" t="s">
        <v>412</v>
      </c>
      <c r="K57" s="57">
        <v>0.04</v>
      </c>
      <c r="L57" s="58" t="s">
        <v>440</v>
      </c>
      <c r="M57" s="1" t="s">
        <v>307</v>
      </c>
      <c r="N57" s="59" t="s">
        <v>1152</v>
      </c>
      <c r="O57" s="41">
        <v>49</v>
      </c>
      <c r="P57" s="35">
        <v>1</v>
      </c>
      <c r="Q57" s="42">
        <v>3828730</v>
      </c>
      <c r="R57" s="86">
        <v>3955611</v>
      </c>
      <c r="S57" s="42">
        <v>7907407</v>
      </c>
      <c r="T57" s="42">
        <v>4080000</v>
      </c>
      <c r="W57" s="6">
        <v>44812</v>
      </c>
      <c r="X57" s="6">
        <v>44835</v>
      </c>
      <c r="Y57" s="8">
        <f t="shared" si="26"/>
        <v>44835</v>
      </c>
      <c r="Z57" s="46">
        <f t="shared" si="27"/>
        <v>49949</v>
      </c>
      <c r="AA57" s="2">
        <v>40</v>
      </c>
      <c r="AB57" s="46">
        <f t="shared" si="28"/>
        <v>64559</v>
      </c>
      <c r="AC57" s="1" t="s">
        <v>1809</v>
      </c>
      <c r="AD57" s="1" t="s">
        <v>1810</v>
      </c>
      <c r="AE57" s="1" t="s">
        <v>1819</v>
      </c>
      <c r="AF57" s="1" t="s">
        <v>195</v>
      </c>
      <c r="AG57" s="1" t="s">
        <v>472</v>
      </c>
      <c r="AH57" s="36">
        <v>59715</v>
      </c>
      <c r="AI57" s="87" t="s">
        <v>1811</v>
      </c>
      <c r="AJ57" s="1">
        <v>4064146500</v>
      </c>
      <c r="AT57" s="50">
        <v>12</v>
      </c>
      <c r="AU57" s="35">
        <f t="shared" si="31"/>
        <v>49</v>
      </c>
      <c r="AW57" s="10"/>
      <c r="AX57" s="1">
        <v>40</v>
      </c>
      <c r="AY57" s="1">
        <v>9</v>
      </c>
      <c r="BF57" s="36" t="s">
        <v>1756</v>
      </c>
      <c r="BK57" s="36">
        <v>49</v>
      </c>
      <c r="BP57" s="1">
        <f t="shared" si="32"/>
        <v>49</v>
      </c>
      <c r="BQ57" s="51">
        <f t="shared" si="33"/>
        <v>0.6</v>
      </c>
      <c r="BR57" s="52">
        <v>9295941</v>
      </c>
      <c r="BS57" s="52" t="e">
        <f>VLOOKUP(M57,#REF!,2,TRUE)*(BR57/1000000)</f>
        <v>#REF!</v>
      </c>
      <c r="BT57" s="43" t="e">
        <f>VLOOKUP(M57,#REF!,3,TRUE)*(BR57/1000000)</f>
        <v>#REF!</v>
      </c>
    </row>
    <row r="58" spans="1:72" ht="30" x14ac:dyDescent="0.25">
      <c r="A58" s="6">
        <v>44123</v>
      </c>
      <c r="B58" s="35">
        <v>2021</v>
      </c>
      <c r="C58" s="36" t="s">
        <v>1014</v>
      </c>
      <c r="D58" s="37" t="s">
        <v>1882</v>
      </c>
      <c r="E58" s="1" t="s">
        <v>1681</v>
      </c>
      <c r="F58" s="37" t="s">
        <v>47</v>
      </c>
      <c r="G58" s="38">
        <v>59457</v>
      </c>
      <c r="H58" s="39">
        <v>47.065069999999999</v>
      </c>
      <c r="I58" s="39">
        <v>-109.42624000000001</v>
      </c>
      <c r="J58" s="37" t="s">
        <v>207</v>
      </c>
      <c r="K58" s="57">
        <v>0.09</v>
      </c>
      <c r="L58" s="58" t="s">
        <v>440</v>
      </c>
      <c r="M58" s="1" t="s">
        <v>1169</v>
      </c>
      <c r="N58" s="59" t="s">
        <v>45</v>
      </c>
      <c r="O58" s="41">
        <v>16</v>
      </c>
      <c r="P58" s="35">
        <v>1</v>
      </c>
      <c r="Q58" s="42">
        <v>3100000</v>
      </c>
      <c r="R58" s="86">
        <v>2510749</v>
      </c>
      <c r="S58" s="42"/>
      <c r="T58" s="42"/>
      <c r="W58" s="6"/>
      <c r="X58" s="6"/>
      <c r="Y58" s="8">
        <f t="shared" si="26"/>
        <v>0</v>
      </c>
      <c r="Z58" s="46" t="e">
        <f t="shared" si="27"/>
        <v>#NUM!</v>
      </c>
      <c r="AA58" s="2">
        <v>31</v>
      </c>
      <c r="AB58" s="46" t="e">
        <f t="shared" si="28"/>
        <v>#NUM!</v>
      </c>
      <c r="AC58" s="1" t="s">
        <v>1682</v>
      </c>
      <c r="AD58" s="1" t="s">
        <v>955</v>
      </c>
      <c r="AE58" s="1" t="s">
        <v>1209</v>
      </c>
      <c r="AF58" s="1" t="s">
        <v>338</v>
      </c>
      <c r="AG58" s="1" t="s">
        <v>472</v>
      </c>
      <c r="AH58" s="36">
        <v>59808</v>
      </c>
      <c r="AI58" s="87" t="s">
        <v>1210</v>
      </c>
      <c r="AJ58" s="1">
        <v>4065324663</v>
      </c>
      <c r="AT58" s="50">
        <v>101</v>
      </c>
      <c r="AU58" s="35">
        <f t="shared" si="31"/>
        <v>16</v>
      </c>
      <c r="AW58" s="10">
        <v>4</v>
      </c>
      <c r="AX58" s="1">
        <v>10</v>
      </c>
      <c r="AY58" s="1">
        <v>2</v>
      </c>
      <c r="BF58" s="36" t="s">
        <v>1756</v>
      </c>
      <c r="BI58" s="36">
        <v>3</v>
      </c>
      <c r="BJ58" s="36">
        <v>10</v>
      </c>
      <c r="BK58" s="36">
        <v>3</v>
      </c>
      <c r="BP58" s="1">
        <f t="shared" si="32"/>
        <v>16</v>
      </c>
      <c r="BQ58" s="51">
        <f t="shared" si="33"/>
        <v>0.5</v>
      </c>
      <c r="BR58" s="52">
        <v>4390450</v>
      </c>
      <c r="BS58" s="52" t="e">
        <f>VLOOKUP(M58,#REF!,2,TRUE)*(BR58/1000000)</f>
        <v>#REF!</v>
      </c>
      <c r="BT58" s="43" t="e">
        <f>VLOOKUP(M58,#REF!,3,TRUE)*(BR58/1000000)</f>
        <v>#REF!</v>
      </c>
    </row>
    <row r="59" spans="1:72" ht="15" customHeight="1" x14ac:dyDescent="0.25">
      <c r="A59" s="6">
        <v>44123</v>
      </c>
      <c r="B59" s="35">
        <v>2021</v>
      </c>
      <c r="C59" s="36" t="s">
        <v>1014</v>
      </c>
      <c r="D59" s="37" t="s">
        <v>1685</v>
      </c>
      <c r="E59" s="1" t="s">
        <v>1709</v>
      </c>
      <c r="F59" s="37" t="s">
        <v>192</v>
      </c>
      <c r="G59" s="38">
        <v>59101</v>
      </c>
      <c r="H59" s="39">
        <v>45.762560000000001</v>
      </c>
      <c r="I59" s="39">
        <v>-108.51561</v>
      </c>
      <c r="J59" s="37" t="s">
        <v>300</v>
      </c>
      <c r="K59" s="57">
        <v>0.09</v>
      </c>
      <c r="L59" s="58" t="s">
        <v>1154</v>
      </c>
      <c r="M59" s="1" t="s">
        <v>1169</v>
      </c>
      <c r="N59" s="59" t="s">
        <v>45</v>
      </c>
      <c r="O59" s="41">
        <v>38</v>
      </c>
      <c r="P59" s="35">
        <v>5</v>
      </c>
      <c r="Q59" s="42">
        <v>6435000</v>
      </c>
      <c r="R59" s="86">
        <v>5340516</v>
      </c>
      <c r="S59" s="42"/>
      <c r="T59" s="45"/>
      <c r="W59" s="6">
        <v>45300</v>
      </c>
      <c r="X59" s="6">
        <v>45323</v>
      </c>
      <c r="Y59" s="8">
        <f t="shared" si="26"/>
        <v>45323</v>
      </c>
      <c r="Z59" s="46">
        <f t="shared" si="27"/>
        <v>50437</v>
      </c>
      <c r="AA59" s="2">
        <v>31</v>
      </c>
      <c r="AB59" s="46">
        <f t="shared" si="28"/>
        <v>61760</v>
      </c>
      <c r="AC59" s="1" t="s">
        <v>1699</v>
      </c>
      <c r="AD59" s="1" t="s">
        <v>1710</v>
      </c>
      <c r="AE59" s="1" t="s">
        <v>935</v>
      </c>
      <c r="AF59" s="1" t="s">
        <v>887</v>
      </c>
      <c r="AG59" s="1" t="s">
        <v>472</v>
      </c>
      <c r="AH59" s="36">
        <v>59602</v>
      </c>
      <c r="AI59" s="87" t="s">
        <v>1711</v>
      </c>
      <c r="AJ59" s="1">
        <v>4063903754</v>
      </c>
      <c r="AT59" s="50">
        <v>750</v>
      </c>
      <c r="AU59" s="35">
        <f t="shared" si="31"/>
        <v>38</v>
      </c>
      <c r="AX59" s="1">
        <v>20</v>
      </c>
      <c r="AY59" s="1">
        <v>12</v>
      </c>
      <c r="AZ59" s="1">
        <v>6</v>
      </c>
      <c r="BF59" s="36" t="s">
        <v>1756</v>
      </c>
      <c r="BJ59" s="36">
        <v>8</v>
      </c>
      <c r="BK59" s="36">
        <v>30</v>
      </c>
      <c r="BP59" s="1">
        <f t="shared" si="32"/>
        <v>38</v>
      </c>
      <c r="BQ59" s="51">
        <f t="shared" si="33"/>
        <v>0.57894736842105265</v>
      </c>
      <c r="BR59" s="52">
        <v>8794015</v>
      </c>
      <c r="BS59" s="52" t="e">
        <f>VLOOKUP(M59,#REF!,2,TRUE)*(BR59/1000000)</f>
        <v>#REF!</v>
      </c>
      <c r="BT59" s="43" t="e">
        <f>VLOOKUP(M59,#REF!,3,TRUE)*(BR59/1000000)</f>
        <v>#REF!</v>
      </c>
    </row>
    <row r="60" spans="1:72" ht="15" customHeight="1" x14ac:dyDescent="0.25">
      <c r="A60" s="6">
        <v>44123</v>
      </c>
      <c r="B60" s="35">
        <v>2021</v>
      </c>
      <c r="C60" s="36" t="s">
        <v>1014</v>
      </c>
      <c r="D60" s="37" t="s">
        <v>1171</v>
      </c>
      <c r="E60" s="1" t="s">
        <v>2231</v>
      </c>
      <c r="F60" s="37" t="s">
        <v>46</v>
      </c>
      <c r="G60" s="38">
        <v>59901</v>
      </c>
      <c r="H60" s="39">
        <v>48.203530000000001</v>
      </c>
      <c r="I60" s="39">
        <v>-114.33396</v>
      </c>
      <c r="J60" s="37" t="s">
        <v>343</v>
      </c>
      <c r="K60" s="57">
        <v>0.09</v>
      </c>
      <c r="L60" s="58" t="s">
        <v>1154</v>
      </c>
      <c r="M60" s="1" t="s">
        <v>1169</v>
      </c>
      <c r="N60" s="59" t="s">
        <v>1152</v>
      </c>
      <c r="O60" s="41">
        <v>31</v>
      </c>
      <c r="P60" s="35">
        <v>1</v>
      </c>
      <c r="Q60" s="42">
        <v>6435000</v>
      </c>
      <c r="R60" s="86">
        <v>5501375</v>
      </c>
      <c r="S60" s="42"/>
      <c r="T60" s="42"/>
      <c r="U60" s="53">
        <v>3.1289999999999998E-2</v>
      </c>
      <c r="V60" s="45">
        <v>40</v>
      </c>
      <c r="W60" s="6">
        <v>45321</v>
      </c>
      <c r="X60" s="6">
        <v>45323</v>
      </c>
      <c r="Y60" s="8">
        <f t="shared" si="26"/>
        <v>45323</v>
      </c>
      <c r="Z60" s="46">
        <f t="shared" si="27"/>
        <v>50437</v>
      </c>
      <c r="AA60" s="2">
        <v>31</v>
      </c>
      <c r="AB60" s="46">
        <f t="shared" si="28"/>
        <v>61760</v>
      </c>
      <c r="AC60" s="1" t="s">
        <v>1172</v>
      </c>
      <c r="AE60" s="1" t="s">
        <v>929</v>
      </c>
      <c r="AF60" s="1" t="s">
        <v>338</v>
      </c>
      <c r="AG60" s="1" t="s">
        <v>472</v>
      </c>
      <c r="AH60" s="36">
        <v>59806</v>
      </c>
      <c r="AI60" s="87" t="s">
        <v>1213</v>
      </c>
      <c r="AJ60" s="1">
        <v>4062031558</v>
      </c>
      <c r="AT60" s="50">
        <v>170</v>
      </c>
      <c r="AU60" s="35">
        <f t="shared" si="31"/>
        <v>31</v>
      </c>
      <c r="AW60" s="10"/>
      <c r="AX60" s="1">
        <f>3+19+2</f>
        <v>24</v>
      </c>
      <c r="AY60" s="1">
        <v>6</v>
      </c>
      <c r="BE60" s="1">
        <v>1</v>
      </c>
      <c r="BF60" s="36" t="s">
        <v>1756</v>
      </c>
      <c r="BI60" s="36">
        <v>4</v>
      </c>
      <c r="BJ60" s="36">
        <v>23</v>
      </c>
      <c r="BK60" s="36">
        <v>4</v>
      </c>
      <c r="BP60" s="1">
        <f t="shared" si="32"/>
        <v>31</v>
      </c>
      <c r="BQ60" s="51">
        <f t="shared" si="33"/>
        <v>0.5</v>
      </c>
      <c r="BR60" s="52">
        <v>7392628</v>
      </c>
      <c r="BS60" s="52" t="e">
        <f>VLOOKUP(M60,#REF!,2,TRUE)*(BR60/1000000)</f>
        <v>#REF!</v>
      </c>
      <c r="BT60" s="43" t="e">
        <f>VLOOKUP(M60,#REF!,3,TRUE)*(BR60/1000000)</f>
        <v>#REF!</v>
      </c>
    </row>
    <row r="61" spans="1:72" ht="15" customHeight="1" x14ac:dyDescent="0.25">
      <c r="A61" s="6">
        <v>44123</v>
      </c>
      <c r="B61" s="35">
        <v>2021</v>
      </c>
      <c r="C61" s="36" t="s">
        <v>1014</v>
      </c>
      <c r="D61" s="37" t="s">
        <v>1656</v>
      </c>
      <c r="E61" s="1" t="s">
        <v>1705</v>
      </c>
      <c r="F61" s="37" t="s">
        <v>192</v>
      </c>
      <c r="G61" s="38">
        <v>59101</v>
      </c>
      <c r="H61" s="39">
        <v>45.77984</v>
      </c>
      <c r="I61" s="39">
        <v>-108.50484</v>
      </c>
      <c r="J61" s="37" t="s">
        <v>300</v>
      </c>
      <c r="K61" s="57">
        <v>0.09</v>
      </c>
      <c r="L61" s="58" t="s">
        <v>440</v>
      </c>
      <c r="M61" s="1" t="s">
        <v>302</v>
      </c>
      <c r="N61" s="59" t="s">
        <v>45</v>
      </c>
      <c r="O61" s="41">
        <v>29</v>
      </c>
      <c r="P61" s="35">
        <v>1</v>
      </c>
      <c r="Q61" s="42">
        <v>6435000</v>
      </c>
      <c r="R61" s="86">
        <v>5597890</v>
      </c>
      <c r="S61" s="42"/>
      <c r="T61" s="42"/>
      <c r="W61" s="6"/>
      <c r="X61" s="6"/>
      <c r="Y61" s="8">
        <f t="shared" si="26"/>
        <v>0</v>
      </c>
      <c r="Z61" s="46" t="e">
        <f t="shared" si="27"/>
        <v>#NUM!</v>
      </c>
      <c r="AA61" s="2">
        <v>31</v>
      </c>
      <c r="AB61" s="46" t="e">
        <f t="shared" si="28"/>
        <v>#NUM!</v>
      </c>
      <c r="AC61" s="1" t="s">
        <v>1706</v>
      </c>
      <c r="AE61" s="1" t="s">
        <v>1707</v>
      </c>
      <c r="AF61" s="1" t="s">
        <v>192</v>
      </c>
      <c r="AG61" s="1" t="s">
        <v>472</v>
      </c>
      <c r="AH61" s="36">
        <v>59103</v>
      </c>
      <c r="AI61" s="87" t="s">
        <v>1708</v>
      </c>
      <c r="AJ61" s="1">
        <v>4062470140</v>
      </c>
      <c r="AT61" s="50">
        <v>1131</v>
      </c>
      <c r="AU61" s="35">
        <f t="shared" si="31"/>
        <v>30</v>
      </c>
      <c r="AW61" s="10">
        <v>6</v>
      </c>
      <c r="AX61" s="1">
        <v>18</v>
      </c>
      <c r="AY61" s="1">
        <v>5</v>
      </c>
      <c r="BE61" s="1">
        <v>1</v>
      </c>
      <c r="BF61" s="36" t="s">
        <v>1756</v>
      </c>
      <c r="BI61" s="36">
        <v>3</v>
      </c>
      <c r="BJ61" s="36">
        <v>18</v>
      </c>
      <c r="BK61" s="36">
        <v>8</v>
      </c>
      <c r="BP61" s="1">
        <f t="shared" si="32"/>
        <v>29</v>
      </c>
      <c r="BQ61" s="51">
        <f t="shared" si="33"/>
        <v>0.51724137931034486</v>
      </c>
      <c r="BR61" s="52">
        <v>11925149</v>
      </c>
      <c r="BS61" s="52" t="e">
        <f>VLOOKUP(M61,#REF!,2,TRUE)*(BR61/1000000)</f>
        <v>#REF!</v>
      </c>
      <c r="BT61" s="43" t="e">
        <f>VLOOKUP(M61,#REF!,3,TRUE)*(BR61/1000000)</f>
        <v>#REF!</v>
      </c>
    </row>
    <row r="62" spans="1:72" ht="15" customHeight="1" x14ac:dyDescent="0.25">
      <c r="A62" s="6">
        <v>44123</v>
      </c>
      <c r="B62" s="35">
        <v>2021</v>
      </c>
      <c r="C62" s="36" t="s">
        <v>1014</v>
      </c>
      <c r="D62" s="37" t="s">
        <v>1856</v>
      </c>
      <c r="E62" s="1" t="s">
        <v>1723</v>
      </c>
      <c r="F62" s="37" t="s">
        <v>837</v>
      </c>
      <c r="G62" s="38">
        <v>59022</v>
      </c>
      <c r="H62" s="39">
        <v>45.609479999999998</v>
      </c>
      <c r="I62" s="39">
        <v>-107.47302000000001</v>
      </c>
      <c r="J62" s="37" t="s">
        <v>420</v>
      </c>
      <c r="K62" s="57">
        <v>0.09</v>
      </c>
      <c r="L62" s="58" t="s">
        <v>454</v>
      </c>
      <c r="M62" s="1" t="s">
        <v>307</v>
      </c>
      <c r="N62" s="59" t="s">
        <v>45</v>
      </c>
      <c r="O62" s="41">
        <v>43</v>
      </c>
      <c r="P62" s="35">
        <v>43</v>
      </c>
      <c r="Q62" s="42">
        <v>6435000</v>
      </c>
      <c r="R62" s="86">
        <v>5464953</v>
      </c>
      <c r="S62" s="42"/>
      <c r="T62" s="42"/>
      <c r="W62" s="6">
        <v>42216</v>
      </c>
      <c r="X62" s="6">
        <v>42005</v>
      </c>
      <c r="Y62" s="8">
        <f t="shared" si="26"/>
        <v>42216</v>
      </c>
      <c r="Z62" s="46">
        <f t="shared" si="27"/>
        <v>47330</v>
      </c>
      <c r="AA62" s="2">
        <v>31</v>
      </c>
      <c r="AB62" s="46">
        <f t="shared" si="28"/>
        <v>58653</v>
      </c>
      <c r="AC62" s="1" t="s">
        <v>1702</v>
      </c>
      <c r="AE62" s="1" t="s">
        <v>1703</v>
      </c>
      <c r="AF62" s="1" t="s">
        <v>837</v>
      </c>
      <c r="AG62" s="1" t="s">
        <v>472</v>
      </c>
      <c r="AH62" s="36">
        <v>59022</v>
      </c>
      <c r="AI62" s="87" t="s">
        <v>1704</v>
      </c>
      <c r="AJ62" s="1">
        <v>7202736697</v>
      </c>
      <c r="AT62" s="50">
        <v>120</v>
      </c>
      <c r="AU62" s="35">
        <f t="shared" si="31"/>
        <v>43</v>
      </c>
      <c r="AW62" s="10"/>
      <c r="AX62" s="1">
        <v>8</v>
      </c>
      <c r="AY62" s="1">
        <v>10</v>
      </c>
      <c r="AZ62" s="1">
        <v>12</v>
      </c>
      <c r="BA62" s="1">
        <v>13</v>
      </c>
      <c r="BF62" s="36" t="s">
        <v>1756</v>
      </c>
      <c r="BH62" s="36">
        <v>3</v>
      </c>
      <c r="BI62" s="36">
        <v>3</v>
      </c>
      <c r="BJ62" s="36">
        <v>27</v>
      </c>
      <c r="BK62" s="36">
        <v>10</v>
      </c>
      <c r="BP62" s="1">
        <f t="shared" si="32"/>
        <v>43</v>
      </c>
      <c r="BQ62" s="51">
        <f t="shared" si="33"/>
        <v>0.50232558139534889</v>
      </c>
      <c r="BR62" s="52">
        <v>7767696.4500000002</v>
      </c>
      <c r="BS62" s="52" t="e">
        <f>VLOOKUP(M62,#REF!,2,TRUE)*(BR62/1000000)</f>
        <v>#REF!</v>
      </c>
      <c r="BT62" s="43" t="e">
        <f>VLOOKUP(M62,#REF!,3,TRUE)*(BR62/1000000)</f>
        <v>#REF!</v>
      </c>
    </row>
    <row r="63" spans="1:72" ht="15" customHeight="1" x14ac:dyDescent="0.25">
      <c r="A63" s="6">
        <v>44123</v>
      </c>
      <c r="B63" s="35">
        <v>2021</v>
      </c>
      <c r="C63" s="36" t="s">
        <v>1014</v>
      </c>
      <c r="D63" s="37" t="s">
        <v>1657</v>
      </c>
      <c r="E63" s="1" t="s">
        <v>1698</v>
      </c>
      <c r="F63" s="37" t="s">
        <v>1039</v>
      </c>
      <c r="G63" s="38">
        <v>59044</v>
      </c>
      <c r="H63" s="39">
        <v>45.670659999999998</v>
      </c>
      <c r="I63" s="39">
        <v>-108.78221000000001</v>
      </c>
      <c r="J63" s="37" t="s">
        <v>300</v>
      </c>
      <c r="K63" s="57">
        <v>0.09</v>
      </c>
      <c r="L63" s="58" t="s">
        <v>1154</v>
      </c>
      <c r="M63" s="1" t="s">
        <v>1169</v>
      </c>
      <c r="N63" s="59" t="s">
        <v>45</v>
      </c>
      <c r="O63" s="41">
        <v>19</v>
      </c>
      <c r="P63" s="35">
        <v>4</v>
      </c>
      <c r="Q63" s="42">
        <v>3812010</v>
      </c>
      <c r="R63" s="86">
        <v>3316117</v>
      </c>
      <c r="S63" s="42"/>
      <c r="T63" s="42"/>
      <c r="W63" s="6"/>
      <c r="X63" s="6"/>
      <c r="Y63" s="8">
        <f t="shared" si="26"/>
        <v>0</v>
      </c>
      <c r="Z63" s="46" t="e">
        <f t="shared" si="27"/>
        <v>#NUM!</v>
      </c>
      <c r="AA63" s="2">
        <v>31</v>
      </c>
      <c r="AB63" s="46" t="e">
        <f t="shared" si="28"/>
        <v>#NUM!</v>
      </c>
      <c r="AC63" s="1" t="s">
        <v>1699</v>
      </c>
      <c r="AD63" s="1" t="s">
        <v>1700</v>
      </c>
      <c r="AE63" s="1" t="s">
        <v>935</v>
      </c>
      <c r="AF63" s="1" t="s">
        <v>887</v>
      </c>
      <c r="AG63" s="1" t="s">
        <v>472</v>
      </c>
      <c r="AH63" s="36">
        <v>59602</v>
      </c>
      <c r="AI63" s="87" t="s">
        <v>1701</v>
      </c>
      <c r="AJ63" s="1">
        <v>4064595332</v>
      </c>
      <c r="AT63" s="50">
        <v>136</v>
      </c>
      <c r="AU63" s="35">
        <f t="shared" si="31"/>
        <v>19</v>
      </c>
      <c r="AW63" s="10"/>
      <c r="AX63" s="1">
        <v>5</v>
      </c>
      <c r="AY63" s="1">
        <v>9</v>
      </c>
      <c r="AZ63" s="1">
        <v>5</v>
      </c>
      <c r="BF63" s="36" t="s">
        <v>1756</v>
      </c>
      <c r="BJ63" s="36">
        <v>12</v>
      </c>
      <c r="BK63" s="36">
        <v>7</v>
      </c>
      <c r="BP63" s="1">
        <f t="shared" si="32"/>
        <v>19</v>
      </c>
      <c r="BQ63" s="51">
        <f t="shared" si="33"/>
        <v>0.5368421052631579</v>
      </c>
      <c r="BR63" s="52">
        <v>4527718</v>
      </c>
      <c r="BS63" s="52" t="e">
        <f>VLOOKUP(M63,#REF!,2,TRUE)*(BR63/1000000)</f>
        <v>#REF!</v>
      </c>
      <c r="BT63" s="43" t="e">
        <f>VLOOKUP(M63,#REF!,3,TRUE)*(BR63/1000000)</f>
        <v>#REF!</v>
      </c>
    </row>
    <row r="64" spans="1:72" ht="15" customHeight="1" x14ac:dyDescent="0.25">
      <c r="A64" s="6">
        <v>44159</v>
      </c>
      <c r="B64" s="35">
        <v>2020</v>
      </c>
      <c r="C64" s="36" t="s">
        <v>1014</v>
      </c>
      <c r="D64" s="37" t="s">
        <v>1725</v>
      </c>
      <c r="E64" s="1" t="s">
        <v>1717</v>
      </c>
      <c r="F64" s="37" t="s">
        <v>195</v>
      </c>
      <c r="G64" s="38">
        <v>59715</v>
      </c>
      <c r="H64" s="39">
        <v>45.696647599999999</v>
      </c>
      <c r="I64" s="39">
        <v>-111.0591596</v>
      </c>
      <c r="J64" s="37" t="s">
        <v>314</v>
      </c>
      <c r="K64" s="57">
        <v>0.04</v>
      </c>
      <c r="L64" s="58" t="s">
        <v>440</v>
      </c>
      <c r="M64" s="1" t="s">
        <v>1169</v>
      </c>
      <c r="N64" s="59" t="s">
        <v>45</v>
      </c>
      <c r="O64" s="41">
        <v>136</v>
      </c>
      <c r="P64" s="35">
        <v>9</v>
      </c>
      <c r="Q64" s="42">
        <v>14977720</v>
      </c>
      <c r="R64" s="86">
        <v>13403718</v>
      </c>
      <c r="S64" s="42">
        <v>26000000</v>
      </c>
      <c r="T64" s="42">
        <v>20567881</v>
      </c>
      <c r="U64" s="53">
        <v>3.6499999999999998E-2</v>
      </c>
      <c r="V64" s="45">
        <v>35</v>
      </c>
      <c r="W64" s="6">
        <v>44519</v>
      </c>
      <c r="X64" s="6">
        <v>44562</v>
      </c>
      <c r="Y64" s="8">
        <f t="shared" si="26"/>
        <v>44562</v>
      </c>
      <c r="Z64" s="46">
        <f t="shared" si="27"/>
        <v>49675</v>
      </c>
      <c r="AA64" s="2">
        <v>31</v>
      </c>
      <c r="AB64" s="46">
        <f t="shared" si="28"/>
        <v>60998</v>
      </c>
      <c r="AC64" s="1" t="s">
        <v>1718</v>
      </c>
      <c r="AD64" s="1" t="s">
        <v>1719</v>
      </c>
      <c r="AE64" s="1" t="s">
        <v>1720</v>
      </c>
      <c r="AF64" s="1" t="s">
        <v>793</v>
      </c>
      <c r="AG64" s="1" t="s">
        <v>474</v>
      </c>
      <c r="AH64" s="36">
        <v>98101</v>
      </c>
      <c r="AI64" s="47" t="s">
        <v>1721</v>
      </c>
      <c r="AJ64" s="1">
        <v>2067456464</v>
      </c>
      <c r="AT64" s="50">
        <v>965</v>
      </c>
      <c r="AU64" s="35">
        <f t="shared" si="31"/>
        <v>136</v>
      </c>
      <c r="AW64" s="10"/>
      <c r="AX64" s="1">
        <v>60</v>
      </c>
      <c r="AY64" s="1">
        <v>36</v>
      </c>
      <c r="AZ64" s="1">
        <f>24+15</f>
        <v>39</v>
      </c>
      <c r="BE64" s="1">
        <v>1</v>
      </c>
      <c r="BF64" s="36" t="s">
        <v>1756</v>
      </c>
      <c r="BK64" s="36">
        <v>135</v>
      </c>
      <c r="BO64" s="1">
        <v>1</v>
      </c>
      <c r="BP64" s="1">
        <f t="shared" si="32"/>
        <v>136</v>
      </c>
      <c r="BQ64" s="51">
        <f t="shared" si="33"/>
        <v>0.6</v>
      </c>
      <c r="BR64" s="52">
        <v>41444674</v>
      </c>
      <c r="BS64" s="52" t="e">
        <f>VLOOKUP(M64,#REF!,2,TRUE)*(BR64/1000000)</f>
        <v>#REF!</v>
      </c>
      <c r="BT64" s="43" t="e">
        <f>VLOOKUP(M64,#REF!,3,TRUE)*(BR64/1000000)</f>
        <v>#REF!</v>
      </c>
    </row>
    <row r="65" spans="1:72" ht="15" customHeight="1" x14ac:dyDescent="0.25">
      <c r="A65" s="6">
        <v>44159</v>
      </c>
      <c r="B65" s="35">
        <v>2020</v>
      </c>
      <c r="C65" s="36" t="s">
        <v>1014</v>
      </c>
      <c r="D65" s="37" t="s">
        <v>1726</v>
      </c>
      <c r="E65" s="1" t="s">
        <v>1722</v>
      </c>
      <c r="F65" s="37" t="s">
        <v>195</v>
      </c>
      <c r="G65" s="38">
        <v>59715</v>
      </c>
      <c r="H65" s="39">
        <v>45.696647599999999</v>
      </c>
      <c r="I65" s="39">
        <v>-111.0591596</v>
      </c>
      <c r="J65" s="37" t="s">
        <v>314</v>
      </c>
      <c r="K65" s="57">
        <v>0.04</v>
      </c>
      <c r="L65" s="58" t="s">
        <v>440</v>
      </c>
      <c r="M65" s="1" t="s">
        <v>1169</v>
      </c>
      <c r="N65" s="59" t="s">
        <v>443</v>
      </c>
      <c r="O65" s="41">
        <v>96</v>
      </c>
      <c r="P65" s="35">
        <v>1</v>
      </c>
      <c r="Q65" s="42">
        <v>10049430</v>
      </c>
      <c r="R65" s="86">
        <v>8842616</v>
      </c>
      <c r="S65" s="42">
        <v>19000000</v>
      </c>
      <c r="T65" s="42">
        <v>12808779</v>
      </c>
      <c r="U65" s="53">
        <v>3.5000000000000003E-2</v>
      </c>
      <c r="V65" s="45">
        <v>35</v>
      </c>
      <c r="W65" s="6">
        <v>44608</v>
      </c>
      <c r="X65" s="6">
        <v>44621</v>
      </c>
      <c r="Y65" s="8">
        <f t="shared" si="26"/>
        <v>44621</v>
      </c>
      <c r="Z65" s="46">
        <f t="shared" si="27"/>
        <v>49735</v>
      </c>
      <c r="AA65" s="2">
        <v>31</v>
      </c>
      <c r="AB65" s="46">
        <f t="shared" si="28"/>
        <v>61057</v>
      </c>
      <c r="AC65" s="1" t="s">
        <v>1718</v>
      </c>
      <c r="AD65" s="1" t="s">
        <v>1719</v>
      </c>
      <c r="AE65" s="1" t="s">
        <v>1720</v>
      </c>
      <c r="AF65" s="1" t="s">
        <v>793</v>
      </c>
      <c r="AG65" s="1" t="s">
        <v>474</v>
      </c>
      <c r="AH65" s="36">
        <v>98101</v>
      </c>
      <c r="AI65" s="47" t="s">
        <v>1721</v>
      </c>
      <c r="AJ65" s="1">
        <v>2067456464</v>
      </c>
      <c r="AT65" s="50">
        <v>965</v>
      </c>
      <c r="AU65" s="35">
        <f t="shared" si="31"/>
        <v>96</v>
      </c>
      <c r="AW65" s="10"/>
      <c r="AX65" s="1">
        <v>85</v>
      </c>
      <c r="AY65" s="1">
        <v>10</v>
      </c>
      <c r="BE65" s="1">
        <v>1</v>
      </c>
      <c r="BF65" s="36" t="s">
        <v>1756</v>
      </c>
      <c r="BK65" s="36">
        <v>95</v>
      </c>
      <c r="BO65" s="1">
        <v>1</v>
      </c>
      <c r="BP65" s="1">
        <f t="shared" si="32"/>
        <v>96</v>
      </c>
      <c r="BQ65" s="51">
        <f t="shared" si="33"/>
        <v>0.6</v>
      </c>
      <c r="BR65" s="52">
        <v>28774961</v>
      </c>
      <c r="BS65" s="52" t="e">
        <f>VLOOKUP(M65,#REF!,2,TRUE)*(BR65/1000000)</f>
        <v>#REF!</v>
      </c>
      <c r="BT65" s="43" t="e">
        <f>VLOOKUP(M65,#REF!,3,TRUE)*(BR65/1000000)</f>
        <v>#REF!</v>
      </c>
    </row>
    <row r="66" spans="1:72" ht="15" customHeight="1" x14ac:dyDescent="0.25">
      <c r="A66" s="6">
        <v>43891</v>
      </c>
      <c r="B66" s="35">
        <v>2020</v>
      </c>
      <c r="C66" s="36" t="s">
        <v>1014</v>
      </c>
      <c r="D66" s="37" t="s">
        <v>1939</v>
      </c>
      <c r="E66" s="1" t="s">
        <v>1694</v>
      </c>
      <c r="F66" s="37" t="s">
        <v>1277</v>
      </c>
      <c r="G66" s="38">
        <v>59828</v>
      </c>
      <c r="H66" s="39">
        <v>46.312133099999997</v>
      </c>
      <c r="I66" s="39">
        <v>-114.1188034</v>
      </c>
      <c r="J66" s="37" t="s">
        <v>356</v>
      </c>
      <c r="K66" s="57">
        <v>0.04</v>
      </c>
      <c r="L66" s="58" t="s">
        <v>1154</v>
      </c>
      <c r="M66" s="1" t="s">
        <v>307</v>
      </c>
      <c r="N66" s="59" t="s">
        <v>45</v>
      </c>
      <c r="O66" s="41">
        <v>36</v>
      </c>
      <c r="P66" s="35">
        <v>6</v>
      </c>
      <c r="Q66" s="42">
        <v>1185620</v>
      </c>
      <c r="R66" s="86">
        <v>1085749</v>
      </c>
      <c r="S66" s="42">
        <v>3600000</v>
      </c>
      <c r="T66" s="42">
        <v>3184045</v>
      </c>
      <c r="U66" s="53">
        <v>3.7999999999999999E-2</v>
      </c>
      <c r="V66" s="45">
        <v>40</v>
      </c>
      <c r="W66" s="6">
        <v>43928</v>
      </c>
      <c r="X66" s="6">
        <v>44183</v>
      </c>
      <c r="Y66" s="8">
        <f t="shared" si="26"/>
        <v>44183</v>
      </c>
      <c r="Z66" s="46">
        <f t="shared" si="27"/>
        <v>49296</v>
      </c>
      <c r="AA66" s="2">
        <v>31</v>
      </c>
      <c r="AB66" s="46">
        <f t="shared" si="28"/>
        <v>60619</v>
      </c>
      <c r="AC66" s="1" t="s">
        <v>1695</v>
      </c>
      <c r="AD66" s="1" t="s">
        <v>1696</v>
      </c>
      <c r="AE66" s="1" t="s">
        <v>997</v>
      </c>
      <c r="AF66" s="1" t="s">
        <v>799</v>
      </c>
      <c r="AG66" s="1" t="s">
        <v>478</v>
      </c>
      <c r="AH66" s="36">
        <v>83702</v>
      </c>
      <c r="AI66" s="47" t="s">
        <v>1697</v>
      </c>
      <c r="AJ66" s="1">
        <v>2083438877</v>
      </c>
      <c r="AT66" s="50">
        <v>71</v>
      </c>
      <c r="AU66" s="35">
        <f t="shared" si="31"/>
        <v>36</v>
      </c>
      <c r="AW66" s="10"/>
      <c r="AY66" s="1">
        <v>20</v>
      </c>
      <c r="AZ66" s="1">
        <v>16</v>
      </c>
      <c r="BF66" s="36" t="s">
        <v>1756</v>
      </c>
      <c r="BJ66" s="36">
        <v>23</v>
      </c>
      <c r="BK66" s="36">
        <v>12</v>
      </c>
      <c r="BP66" s="1">
        <f t="shared" si="32"/>
        <v>35</v>
      </c>
      <c r="BQ66" s="51">
        <f t="shared" si="33"/>
        <v>0.53428571428571425</v>
      </c>
      <c r="BR66" s="52">
        <v>4324186</v>
      </c>
      <c r="BS66" s="52" t="e">
        <f>VLOOKUP(M66,#REF!,2,TRUE)*(BR66/1000000)</f>
        <v>#REF!</v>
      </c>
      <c r="BT66" s="43" t="e">
        <f>VLOOKUP(M66,#REF!,3,TRUE)*(BR66/1000000)</f>
        <v>#REF!</v>
      </c>
    </row>
    <row r="67" spans="1:72" ht="15" customHeight="1" x14ac:dyDescent="0.25">
      <c r="A67" s="6">
        <v>44035</v>
      </c>
      <c r="B67" s="35">
        <v>2020</v>
      </c>
      <c r="C67" s="36" t="s">
        <v>1014</v>
      </c>
      <c r="D67" s="37" t="s">
        <v>1658</v>
      </c>
      <c r="E67" s="1" t="s">
        <v>1687</v>
      </c>
      <c r="F67" s="37" t="s">
        <v>192</v>
      </c>
      <c r="G67" s="38">
        <v>59101</v>
      </c>
      <c r="H67" s="39">
        <v>45.766390199999996</v>
      </c>
      <c r="I67" s="39">
        <v>-108.5485034</v>
      </c>
      <c r="J67" s="37" t="s">
        <v>300</v>
      </c>
      <c r="K67" s="57">
        <v>0.04</v>
      </c>
      <c r="L67" s="58" t="s">
        <v>1154</v>
      </c>
      <c r="M67" s="1" t="s">
        <v>307</v>
      </c>
      <c r="N67" s="59" t="s">
        <v>45</v>
      </c>
      <c r="O67" s="41">
        <v>120</v>
      </c>
      <c r="P67" s="35">
        <v>16</v>
      </c>
      <c r="Q67" s="42">
        <v>8510040</v>
      </c>
      <c r="R67" s="86">
        <v>7829237</v>
      </c>
      <c r="S67" s="42">
        <v>20915000</v>
      </c>
      <c r="T67" s="42">
        <v>16550000</v>
      </c>
      <c r="U67" s="53">
        <v>4.0500000000000001E-2</v>
      </c>
      <c r="V67" s="45">
        <v>40</v>
      </c>
      <c r="W67" s="6">
        <v>43874</v>
      </c>
      <c r="X67" s="6">
        <v>44196</v>
      </c>
      <c r="Y67" s="8">
        <f t="shared" si="26"/>
        <v>44196</v>
      </c>
      <c r="Z67" s="46">
        <f t="shared" si="27"/>
        <v>49309</v>
      </c>
      <c r="AA67" s="2">
        <v>31</v>
      </c>
      <c r="AB67" s="46">
        <f t="shared" si="28"/>
        <v>60632</v>
      </c>
      <c r="AC67" s="1" t="s">
        <v>1688</v>
      </c>
      <c r="AD67" s="1" t="s">
        <v>1690</v>
      </c>
      <c r="AE67" s="1" t="s">
        <v>1689</v>
      </c>
      <c r="AF67" s="1" t="s">
        <v>1691</v>
      </c>
      <c r="AG67" s="1" t="s">
        <v>1692</v>
      </c>
      <c r="AH67" s="36">
        <v>20814</v>
      </c>
      <c r="AI67" s="47" t="s">
        <v>1693</v>
      </c>
      <c r="AJ67" s="1">
        <v>6195434200</v>
      </c>
      <c r="AT67" s="50">
        <v>3853</v>
      </c>
      <c r="AU67" s="35">
        <f t="shared" si="31"/>
        <v>120</v>
      </c>
      <c r="AW67" s="10">
        <v>14</v>
      </c>
      <c r="AX67" s="1">
        <v>26</v>
      </c>
      <c r="AY67" s="1">
        <v>34</v>
      </c>
      <c r="AZ67" s="1">
        <v>46</v>
      </c>
      <c r="BF67" s="36" t="s">
        <v>1756</v>
      </c>
      <c r="BJ67" s="36">
        <v>60</v>
      </c>
      <c r="BK67" s="36">
        <v>60</v>
      </c>
      <c r="BP67" s="1">
        <f t="shared" si="32"/>
        <v>120</v>
      </c>
      <c r="BQ67" s="51">
        <f t="shared" si="33"/>
        <v>0.55000000000000004</v>
      </c>
      <c r="BR67" s="52">
        <v>26041184</v>
      </c>
      <c r="BS67" s="52" t="e">
        <f>VLOOKUP(M67,#REF!,2,TRUE)*(BR67/1000000)</f>
        <v>#REF!</v>
      </c>
      <c r="BT67" s="43" t="e">
        <f>VLOOKUP(M67,#REF!,3,TRUE)*(BR67/1000000)</f>
        <v>#REF!</v>
      </c>
    </row>
    <row r="68" spans="1:72" ht="15" customHeight="1" x14ac:dyDescent="0.25">
      <c r="A68" s="6">
        <v>44035</v>
      </c>
      <c r="B68" s="35">
        <v>2020</v>
      </c>
      <c r="C68" s="36" t="s">
        <v>1014</v>
      </c>
      <c r="D68" s="37" t="s">
        <v>1659</v>
      </c>
      <c r="E68" s="1" t="s">
        <v>1686</v>
      </c>
      <c r="F68" s="37" t="s">
        <v>60</v>
      </c>
      <c r="G68" s="38">
        <v>59701</v>
      </c>
      <c r="H68" s="39">
        <v>46.010779999999997</v>
      </c>
      <c r="I68" s="39">
        <v>-112.53077999999999</v>
      </c>
      <c r="J68" s="37" t="s">
        <v>437</v>
      </c>
      <c r="K68" s="57">
        <v>0.04</v>
      </c>
      <c r="L68" s="58" t="s">
        <v>440</v>
      </c>
      <c r="M68" s="1" t="s">
        <v>307</v>
      </c>
      <c r="N68" s="59" t="s">
        <v>45</v>
      </c>
      <c r="O68" s="41">
        <v>212</v>
      </c>
      <c r="P68" s="35">
        <v>18</v>
      </c>
      <c r="Q68" s="42">
        <v>15900110</v>
      </c>
      <c r="R68" s="86">
        <v>13871494</v>
      </c>
      <c r="S68" s="42">
        <v>29300000</v>
      </c>
      <c r="T68" s="42">
        <v>19950000</v>
      </c>
      <c r="U68" s="53">
        <v>4.2000000000000003E-2</v>
      </c>
      <c r="V68" s="45">
        <v>40</v>
      </c>
      <c r="W68" s="6">
        <v>44347</v>
      </c>
      <c r="X68" s="6">
        <v>44348</v>
      </c>
      <c r="Y68" s="8">
        <f t="shared" si="26"/>
        <v>44348</v>
      </c>
      <c r="Z68" s="46">
        <f t="shared" si="27"/>
        <v>49461</v>
      </c>
      <c r="AA68" s="2">
        <v>35</v>
      </c>
      <c r="AB68" s="46">
        <f t="shared" si="28"/>
        <v>62245</v>
      </c>
      <c r="AC68" s="1" t="s">
        <v>1713</v>
      </c>
      <c r="AI68" s="47" t="s">
        <v>1716</v>
      </c>
      <c r="AJ68" s="1">
        <v>4067826464</v>
      </c>
      <c r="AT68" s="50">
        <v>324</v>
      </c>
      <c r="AU68" s="35">
        <f t="shared" si="31"/>
        <v>212</v>
      </c>
      <c r="AW68" s="10"/>
      <c r="AX68" s="1">
        <v>89</v>
      </c>
      <c r="AY68" s="1">
        <v>88</v>
      </c>
      <c r="AZ68" s="1">
        <v>35</v>
      </c>
      <c r="BF68" s="36" t="s">
        <v>1756</v>
      </c>
      <c r="BK68" s="36">
        <v>212</v>
      </c>
      <c r="BP68" s="1">
        <f t="shared" si="32"/>
        <v>212</v>
      </c>
      <c r="BQ68" s="51">
        <f t="shared" si="33"/>
        <v>0.6</v>
      </c>
      <c r="BR68" s="52">
        <v>47339448</v>
      </c>
      <c r="BS68" s="52" t="e">
        <f>VLOOKUP(M68,#REF!,2,TRUE)*(BR68/1000000)</f>
        <v>#REF!</v>
      </c>
      <c r="BT68" s="43" t="e">
        <f>VLOOKUP(M68,#REF!,3,TRUE)*(BR68/1000000)</f>
        <v>#REF!</v>
      </c>
    </row>
    <row r="69" spans="1:72" ht="15" customHeight="1" x14ac:dyDescent="0.25">
      <c r="A69" s="6">
        <v>44035</v>
      </c>
      <c r="B69" s="35">
        <v>2020</v>
      </c>
      <c r="C69" s="36" t="s">
        <v>1014</v>
      </c>
      <c r="D69" s="37" t="s">
        <v>1749</v>
      </c>
      <c r="E69" s="1" t="s">
        <v>1752</v>
      </c>
      <c r="F69" s="37" t="s">
        <v>60</v>
      </c>
      <c r="G69" s="38">
        <v>59701</v>
      </c>
      <c r="H69" s="39">
        <v>46.013660000000002</v>
      </c>
      <c r="I69" s="39">
        <v>-112.53725</v>
      </c>
      <c r="J69" s="37" t="s">
        <v>437</v>
      </c>
      <c r="K69" s="57">
        <v>0.04</v>
      </c>
      <c r="L69" s="58" t="s">
        <v>440</v>
      </c>
      <c r="M69" s="1" t="s">
        <v>307</v>
      </c>
      <c r="N69" s="59" t="s">
        <v>45</v>
      </c>
      <c r="O69" s="41">
        <v>65</v>
      </c>
      <c r="P69" s="35">
        <v>1</v>
      </c>
      <c r="Q69" s="42">
        <v>3348700</v>
      </c>
      <c r="R69" s="86">
        <f>5850950*0.5</f>
        <v>2925475</v>
      </c>
      <c r="S69" s="42">
        <f>13200000*0.5</f>
        <v>6600000</v>
      </c>
      <c r="T69" s="42">
        <f>6535000*0.5</f>
        <v>3267500</v>
      </c>
      <c r="U69" s="53">
        <v>4.2999999999999997E-2</v>
      </c>
      <c r="V69" s="45">
        <v>40</v>
      </c>
      <c r="W69" s="6">
        <v>44265</v>
      </c>
      <c r="X69" s="6">
        <v>44287</v>
      </c>
      <c r="Y69" s="8">
        <f t="shared" si="26"/>
        <v>44287</v>
      </c>
      <c r="Z69" s="46">
        <f t="shared" si="27"/>
        <v>49400</v>
      </c>
      <c r="AA69" s="2">
        <v>31</v>
      </c>
      <c r="AB69" s="46">
        <f t="shared" si="28"/>
        <v>60723</v>
      </c>
      <c r="AC69" s="1" t="s">
        <v>1713</v>
      </c>
      <c r="AI69" s="47" t="s">
        <v>1716</v>
      </c>
      <c r="AJ69" s="1">
        <v>4067826464</v>
      </c>
      <c r="AT69" s="50">
        <v>324</v>
      </c>
      <c r="AU69" s="35">
        <f t="shared" si="31"/>
        <v>66</v>
      </c>
      <c r="AW69" s="10"/>
      <c r="AX69" s="1">
        <v>62</v>
      </c>
      <c r="AY69" s="1">
        <v>4</v>
      </c>
      <c r="BF69" s="36" t="s">
        <v>1756</v>
      </c>
      <c r="BK69" s="36">
        <v>65</v>
      </c>
      <c r="BP69" s="1">
        <f t="shared" si="32"/>
        <v>65</v>
      </c>
      <c r="BQ69" s="51">
        <f t="shared" ref="BQ69:BQ77" si="34">((BH69*BH$1)+(BI69*BI$1)+(BJ69*BJ$1)+(BK69*BK$1)+(BL69*BL$1)+(BM69*BM$1))/SUM(BH69:BM69)</f>
        <v>0.6</v>
      </c>
      <c r="BR69" s="52">
        <v>14514453</v>
      </c>
      <c r="BS69" s="52" t="e">
        <f>VLOOKUP(M69,#REF!,2,TRUE)*(BR69/1000000)</f>
        <v>#REF!</v>
      </c>
      <c r="BT69" s="43" t="e">
        <f>VLOOKUP(M69,#REF!,3,TRUE)*(BR69/1000000)</f>
        <v>#REF!</v>
      </c>
    </row>
    <row r="70" spans="1:72" ht="15" customHeight="1" x14ac:dyDescent="0.25">
      <c r="A70" s="6">
        <v>44035</v>
      </c>
      <c r="B70" s="35">
        <v>2020</v>
      </c>
      <c r="C70" s="36" t="s">
        <v>1014</v>
      </c>
      <c r="D70" s="37" t="s">
        <v>1750</v>
      </c>
      <c r="E70" s="1" t="s">
        <v>1753</v>
      </c>
      <c r="F70" s="37" t="s">
        <v>60</v>
      </c>
      <c r="G70" s="38">
        <v>59701</v>
      </c>
      <c r="H70" s="39">
        <v>45.998860000000001</v>
      </c>
      <c r="I70" s="39">
        <v>-112.53507</v>
      </c>
      <c r="J70" s="37" t="s">
        <v>437</v>
      </c>
      <c r="K70" s="57">
        <v>0.04</v>
      </c>
      <c r="L70" s="58" t="s">
        <v>440</v>
      </c>
      <c r="M70" s="1" t="s">
        <v>307</v>
      </c>
      <c r="N70" s="59" t="s">
        <v>45</v>
      </c>
      <c r="O70" s="41">
        <v>30</v>
      </c>
      <c r="P70" s="35">
        <v>1</v>
      </c>
      <c r="Q70" s="42">
        <v>1757460</v>
      </c>
      <c r="R70" s="86">
        <f>5850950*0.23</f>
        <v>1345718.5</v>
      </c>
      <c r="S70" s="42">
        <f>13200000*0.23</f>
        <v>3036000</v>
      </c>
      <c r="T70" s="42">
        <f>6535000*0.23</f>
        <v>1503050</v>
      </c>
      <c r="U70" s="53">
        <v>4.2999999999999997E-2</v>
      </c>
      <c r="V70" s="45">
        <v>40</v>
      </c>
      <c r="W70" s="6">
        <v>44305</v>
      </c>
      <c r="X70" s="6">
        <v>44317</v>
      </c>
      <c r="Y70" s="8">
        <f t="shared" si="26"/>
        <v>44317</v>
      </c>
      <c r="Z70" s="46">
        <f t="shared" si="27"/>
        <v>49430</v>
      </c>
      <c r="AA70" s="2">
        <v>31</v>
      </c>
      <c r="AB70" s="46">
        <f t="shared" si="28"/>
        <v>60753</v>
      </c>
      <c r="AC70" s="1" t="s">
        <v>1713</v>
      </c>
      <c r="AI70" s="47" t="s">
        <v>1716</v>
      </c>
      <c r="AJ70" s="1">
        <v>4067826464</v>
      </c>
      <c r="AT70" s="50">
        <v>324</v>
      </c>
      <c r="AU70" s="35">
        <f t="shared" si="31"/>
        <v>30</v>
      </c>
      <c r="AW70" s="10"/>
      <c r="AX70" s="1">
        <v>25</v>
      </c>
      <c r="AY70" s="1">
        <v>5</v>
      </c>
      <c r="BF70" s="36" t="s">
        <v>1756</v>
      </c>
      <c r="BK70" s="36">
        <v>30</v>
      </c>
      <c r="BP70" s="1">
        <f t="shared" si="32"/>
        <v>30</v>
      </c>
      <c r="BQ70" s="51">
        <f t="shared" si="34"/>
        <v>0.6</v>
      </c>
      <c r="BR70" s="52">
        <v>6698979</v>
      </c>
      <c r="BS70" s="52" t="e">
        <f>VLOOKUP(M70,#REF!,2,TRUE)*(BR70/1000000)</f>
        <v>#REF!</v>
      </c>
      <c r="BT70" s="43" t="e">
        <f>VLOOKUP(M70,#REF!,3,TRUE)*(BR70/1000000)</f>
        <v>#REF!</v>
      </c>
    </row>
    <row r="71" spans="1:72" ht="15" customHeight="1" x14ac:dyDescent="0.25">
      <c r="A71" s="6">
        <v>44035</v>
      </c>
      <c r="B71" s="35">
        <v>2020</v>
      </c>
      <c r="C71" s="36" t="s">
        <v>1014</v>
      </c>
      <c r="D71" s="37" t="s">
        <v>1751</v>
      </c>
      <c r="E71" s="1" t="s">
        <v>1754</v>
      </c>
      <c r="F71" s="37" t="s">
        <v>60</v>
      </c>
      <c r="G71" s="38">
        <v>59701</v>
      </c>
      <c r="H71" s="39">
        <v>46.001069999999999</v>
      </c>
      <c r="I71" s="39">
        <v>-112.51832</v>
      </c>
      <c r="J71" s="37" t="s">
        <v>437</v>
      </c>
      <c r="K71" s="57">
        <v>0.04</v>
      </c>
      <c r="L71" s="58" t="s">
        <v>440</v>
      </c>
      <c r="M71" s="1" t="s">
        <v>307</v>
      </c>
      <c r="N71" s="59" t="s">
        <v>45</v>
      </c>
      <c r="O71" s="41">
        <v>35</v>
      </c>
      <c r="P71" s="35">
        <v>15</v>
      </c>
      <c r="Q71" s="42">
        <v>1600480</v>
      </c>
      <c r="R71" s="86">
        <f>5850950*0.274</f>
        <v>1603160.3</v>
      </c>
      <c r="S71" s="42">
        <f>13200000*0.27</f>
        <v>3564000.0000000005</v>
      </c>
      <c r="T71" s="42">
        <f>6535000*0.27</f>
        <v>1764450</v>
      </c>
      <c r="U71" s="53">
        <v>4.2999999999999997E-2</v>
      </c>
      <c r="V71" s="45">
        <v>40</v>
      </c>
      <c r="W71" s="6">
        <v>44169</v>
      </c>
      <c r="X71" s="6">
        <v>44197</v>
      </c>
      <c r="Y71" s="8">
        <f t="shared" si="26"/>
        <v>44197</v>
      </c>
      <c r="Z71" s="46">
        <f t="shared" si="27"/>
        <v>49310</v>
      </c>
      <c r="AA71" s="2">
        <v>31</v>
      </c>
      <c r="AB71" s="46">
        <f t="shared" ref="AB71:AB102" si="35">DATE(YEAR(Z71)+AA71,MONTH(Z71),DAY(Z71))</f>
        <v>60633</v>
      </c>
      <c r="AC71" s="1" t="s">
        <v>1713</v>
      </c>
      <c r="AD71" s="1" t="s">
        <v>1714</v>
      </c>
      <c r="AE71" s="1" t="s">
        <v>1715</v>
      </c>
      <c r="AF71" s="1" t="s">
        <v>60</v>
      </c>
      <c r="AG71" s="1" t="s">
        <v>472</v>
      </c>
      <c r="AH71" s="36">
        <v>59701</v>
      </c>
      <c r="AI71" s="47" t="s">
        <v>1716</v>
      </c>
      <c r="AJ71" s="1">
        <v>4067826464</v>
      </c>
      <c r="AT71" s="50">
        <v>324</v>
      </c>
      <c r="AU71" s="35">
        <f t="shared" si="31"/>
        <v>35</v>
      </c>
      <c r="AW71" s="10"/>
      <c r="AX71" s="1">
        <v>24</v>
      </c>
      <c r="AY71" s="1">
        <v>5</v>
      </c>
      <c r="AZ71" s="1">
        <v>6</v>
      </c>
      <c r="BF71" s="36" t="s">
        <v>1756</v>
      </c>
      <c r="BK71" s="36">
        <v>35</v>
      </c>
      <c r="BP71" s="1">
        <f t="shared" si="32"/>
        <v>35</v>
      </c>
      <c r="BQ71" s="51">
        <f t="shared" si="34"/>
        <v>0.6</v>
      </c>
      <c r="BR71" s="52">
        <v>7815475</v>
      </c>
      <c r="BS71" s="52" t="e">
        <f>VLOOKUP(M71,#REF!,2,TRUE)*(BR71/1000000)</f>
        <v>#REF!</v>
      </c>
      <c r="BT71" s="43" t="e">
        <f>VLOOKUP(M71,#REF!,3,TRUE)*(BR71/1000000)</f>
        <v>#REF!</v>
      </c>
    </row>
    <row r="72" spans="1:72" ht="15" customHeight="1" x14ac:dyDescent="0.25">
      <c r="A72" s="6">
        <v>43766</v>
      </c>
      <c r="B72" s="35">
        <v>2020</v>
      </c>
      <c r="C72" s="36" t="s">
        <v>1014</v>
      </c>
      <c r="D72" s="37" t="s">
        <v>1745</v>
      </c>
      <c r="E72" s="1" t="s">
        <v>1935</v>
      </c>
      <c r="F72" s="37" t="s">
        <v>1029</v>
      </c>
      <c r="G72" s="38">
        <v>59870</v>
      </c>
      <c r="H72" s="39">
        <v>47.168689999999998</v>
      </c>
      <c r="I72" s="39">
        <v>-111.8877</v>
      </c>
      <c r="J72" s="37" t="s">
        <v>356</v>
      </c>
      <c r="K72" s="57">
        <v>0.09</v>
      </c>
      <c r="L72" s="58" t="s">
        <v>440</v>
      </c>
      <c r="M72" s="88" t="s">
        <v>1169</v>
      </c>
      <c r="N72" s="59" t="s">
        <v>45</v>
      </c>
      <c r="O72" s="41">
        <v>16</v>
      </c>
      <c r="P72" s="35">
        <v>5</v>
      </c>
      <c r="Q72" s="42">
        <v>3600000</v>
      </c>
      <c r="R72" s="86">
        <v>3113689</v>
      </c>
      <c r="S72" s="42"/>
      <c r="T72" s="42"/>
      <c r="V72" s="45">
        <v>0</v>
      </c>
      <c r="W72" s="6">
        <v>44354</v>
      </c>
      <c r="X72" s="6">
        <v>44197</v>
      </c>
      <c r="Y72" s="8">
        <f t="shared" si="26"/>
        <v>44354</v>
      </c>
      <c r="Z72" s="46">
        <f t="shared" si="27"/>
        <v>49467</v>
      </c>
      <c r="AA72" s="2">
        <v>31</v>
      </c>
      <c r="AB72" s="46">
        <f t="shared" si="35"/>
        <v>60790</v>
      </c>
      <c r="AC72" s="1" t="s">
        <v>1627</v>
      </c>
      <c r="AD72" s="1" t="s">
        <v>53</v>
      </c>
      <c r="AE72" s="1" t="s">
        <v>1226</v>
      </c>
      <c r="AF72" s="1" t="s">
        <v>338</v>
      </c>
      <c r="AG72" s="1" t="s">
        <v>472</v>
      </c>
      <c r="AH72" s="36">
        <v>59801</v>
      </c>
      <c r="AI72" s="47" t="s">
        <v>1227</v>
      </c>
      <c r="AJ72" s="1">
        <v>4067283710</v>
      </c>
      <c r="AT72" s="50">
        <v>69</v>
      </c>
      <c r="AU72" s="35">
        <f t="shared" si="31"/>
        <v>16</v>
      </c>
      <c r="AW72" s="10"/>
      <c r="AY72" s="1">
        <v>12</v>
      </c>
      <c r="AZ72" s="1">
        <v>4</v>
      </c>
      <c r="BF72" s="36" t="s">
        <v>1756</v>
      </c>
      <c r="BI72" s="36">
        <v>2</v>
      </c>
      <c r="BJ72" s="36">
        <v>10</v>
      </c>
      <c r="BK72" s="36">
        <v>4</v>
      </c>
      <c r="BP72" s="1">
        <f t="shared" si="32"/>
        <v>16</v>
      </c>
      <c r="BQ72" s="51">
        <f t="shared" si="34"/>
        <v>0.51249999999999996</v>
      </c>
      <c r="BR72" s="52">
        <v>3832000</v>
      </c>
      <c r="BS72" s="52" t="e">
        <f>VLOOKUP(M72,#REF!,2,TRUE)*(BR72/1000000)</f>
        <v>#REF!</v>
      </c>
      <c r="BT72" s="43" t="e">
        <f>VLOOKUP(M72,#REF!,3,TRUE)*(BR72/1000000)</f>
        <v>#REF!</v>
      </c>
    </row>
    <row r="73" spans="1:72" ht="15" customHeight="1" x14ac:dyDescent="0.25">
      <c r="A73" s="6">
        <v>43766</v>
      </c>
      <c r="B73" s="35">
        <v>2020</v>
      </c>
      <c r="C73" s="36" t="s">
        <v>1014</v>
      </c>
      <c r="D73" s="37" t="s">
        <v>1139</v>
      </c>
      <c r="E73" s="1" t="s">
        <v>2227</v>
      </c>
      <c r="F73" s="37" t="s">
        <v>1140</v>
      </c>
      <c r="G73" s="38">
        <v>59001</v>
      </c>
      <c r="H73" s="39">
        <v>45.516682000000003</v>
      </c>
      <c r="I73" s="39">
        <v>-109.44182600000001</v>
      </c>
      <c r="J73" s="37" t="s">
        <v>428</v>
      </c>
      <c r="K73" s="57">
        <v>0.09</v>
      </c>
      <c r="L73" s="58" t="s">
        <v>440</v>
      </c>
      <c r="M73" s="1" t="s">
        <v>307</v>
      </c>
      <c r="N73" s="59" t="s">
        <v>1152</v>
      </c>
      <c r="O73" s="41">
        <v>32</v>
      </c>
      <c r="P73" s="35">
        <v>1</v>
      </c>
      <c r="Q73" s="42">
        <v>3845340</v>
      </c>
      <c r="R73" s="86">
        <v>3306663</v>
      </c>
      <c r="S73" s="42"/>
      <c r="T73" s="42"/>
      <c r="W73" s="6">
        <v>44225</v>
      </c>
      <c r="X73" s="6">
        <v>44225</v>
      </c>
      <c r="Y73" s="8">
        <v>44225</v>
      </c>
      <c r="Z73" s="46">
        <f t="shared" si="27"/>
        <v>49338</v>
      </c>
      <c r="AA73" s="2">
        <v>31</v>
      </c>
      <c r="AB73" s="46">
        <f t="shared" si="35"/>
        <v>60661</v>
      </c>
      <c r="AC73" s="1" t="s">
        <v>1214</v>
      </c>
      <c r="AD73" s="1" t="s">
        <v>1633</v>
      </c>
      <c r="AE73" s="1" t="s">
        <v>1215</v>
      </c>
      <c r="AF73" s="1" t="s">
        <v>799</v>
      </c>
      <c r="AG73" s="1" t="s">
        <v>478</v>
      </c>
      <c r="AH73" s="36">
        <v>83702</v>
      </c>
      <c r="AI73" s="47" t="s">
        <v>1634</v>
      </c>
      <c r="AJ73" s="1">
        <v>2083877817</v>
      </c>
      <c r="AT73" s="50">
        <v>10</v>
      </c>
      <c r="AU73" s="35">
        <f t="shared" si="31"/>
        <v>32</v>
      </c>
      <c r="AW73" s="10"/>
      <c r="AX73" s="1">
        <v>28</v>
      </c>
      <c r="AY73" s="1">
        <v>4</v>
      </c>
      <c r="BF73" s="36" t="s">
        <v>1756</v>
      </c>
      <c r="BI73" s="36">
        <v>4</v>
      </c>
      <c r="BJ73" s="36">
        <v>19</v>
      </c>
      <c r="BK73" s="36">
        <v>8</v>
      </c>
      <c r="BP73" s="1">
        <f t="shared" si="32"/>
        <v>31</v>
      </c>
      <c r="BQ73" s="51">
        <f t="shared" si="34"/>
        <v>0.51290322580645153</v>
      </c>
      <c r="BR73" s="52">
        <v>4285456</v>
      </c>
      <c r="BS73" s="52" t="e">
        <f>VLOOKUP(M73,#REF!,2,TRUE)*(BR73/1000000)</f>
        <v>#REF!</v>
      </c>
      <c r="BT73" s="43" t="e">
        <f>VLOOKUP(M73,#REF!,3,TRUE)*(BR73/1000000)</f>
        <v>#REF!</v>
      </c>
    </row>
    <row r="74" spans="1:72" ht="15" customHeight="1" x14ac:dyDescent="0.25">
      <c r="A74" s="6">
        <v>43766</v>
      </c>
      <c r="B74" s="35">
        <v>2020</v>
      </c>
      <c r="C74" s="36" t="s">
        <v>1014</v>
      </c>
      <c r="D74" s="37" t="s">
        <v>1254</v>
      </c>
      <c r="E74" s="1" t="s">
        <v>1651</v>
      </c>
      <c r="F74" s="37" t="s">
        <v>338</v>
      </c>
      <c r="G74" s="38">
        <v>59801</v>
      </c>
      <c r="H74" s="39">
        <v>46.861459000000004</v>
      </c>
      <c r="I74" s="39">
        <v>-114.04061299999999</v>
      </c>
      <c r="J74" s="37" t="s">
        <v>338</v>
      </c>
      <c r="K74" s="57">
        <v>0.09</v>
      </c>
      <c r="L74" s="58" t="s">
        <v>1154</v>
      </c>
      <c r="M74" s="1" t="s">
        <v>1169</v>
      </c>
      <c r="N74" s="59" t="s">
        <v>1152</v>
      </c>
      <c r="O74" s="41">
        <v>36</v>
      </c>
      <c r="P74" s="35">
        <v>1</v>
      </c>
      <c r="Q74" s="42">
        <v>5900000</v>
      </c>
      <c r="R74" s="86">
        <v>5102990</v>
      </c>
      <c r="S74" s="42"/>
      <c r="T74" s="42"/>
      <c r="W74" s="6">
        <v>44558</v>
      </c>
      <c r="X74" s="6">
        <v>44562</v>
      </c>
      <c r="Y74" s="8">
        <v>44558</v>
      </c>
      <c r="Z74" s="46">
        <f t="shared" si="27"/>
        <v>49671</v>
      </c>
      <c r="AA74" s="2">
        <v>31</v>
      </c>
      <c r="AB74" s="46">
        <f t="shared" si="35"/>
        <v>60994</v>
      </c>
      <c r="AC74" s="1" t="s">
        <v>1172</v>
      </c>
      <c r="AD74" s="1" t="s">
        <v>844</v>
      </c>
      <c r="AE74" s="1" t="s">
        <v>929</v>
      </c>
      <c r="AF74" s="1" t="s">
        <v>338</v>
      </c>
      <c r="AG74" s="1" t="s">
        <v>472</v>
      </c>
      <c r="AH74" s="36">
        <v>59806</v>
      </c>
      <c r="AI74" s="47" t="s">
        <v>1213</v>
      </c>
      <c r="AJ74" s="1">
        <v>4062031558</v>
      </c>
      <c r="AT74" s="50">
        <v>266</v>
      </c>
      <c r="AU74" s="35">
        <f t="shared" si="31"/>
        <v>36</v>
      </c>
      <c r="AW74" s="10"/>
      <c r="AX74" s="1">
        <v>23</v>
      </c>
      <c r="AY74" s="1">
        <v>12</v>
      </c>
      <c r="BE74" s="1">
        <v>1</v>
      </c>
      <c r="BF74" s="36" t="s">
        <v>1756</v>
      </c>
      <c r="BI74" s="36">
        <v>4</v>
      </c>
      <c r="BJ74" s="36">
        <v>27</v>
      </c>
      <c r="BK74" s="36">
        <v>4</v>
      </c>
      <c r="BP74" s="1">
        <f t="shared" si="32"/>
        <v>35</v>
      </c>
      <c r="BQ74" s="51">
        <f t="shared" si="34"/>
        <v>0.5</v>
      </c>
      <c r="BR74" s="52">
        <v>6624254</v>
      </c>
      <c r="BS74" s="52" t="e">
        <f>VLOOKUP(M74,#REF!,2,TRUE)*(BR74/1000000)</f>
        <v>#REF!</v>
      </c>
      <c r="BT74" s="43" t="e">
        <f>VLOOKUP(M74,#REF!,3,TRUE)*(BR74/1000000)</f>
        <v>#REF!</v>
      </c>
    </row>
    <row r="75" spans="1:72" ht="15" customHeight="1" x14ac:dyDescent="0.25">
      <c r="A75" s="6">
        <v>43766</v>
      </c>
      <c r="B75" s="35">
        <v>2020</v>
      </c>
      <c r="C75" s="36" t="s">
        <v>1014</v>
      </c>
      <c r="D75" s="37" t="s">
        <v>1244</v>
      </c>
      <c r="E75" s="1" t="s">
        <v>1863</v>
      </c>
      <c r="F75" s="37" t="s">
        <v>1040</v>
      </c>
      <c r="G75" s="38">
        <v>59725</v>
      </c>
      <c r="H75" s="39">
        <v>45.21743</v>
      </c>
      <c r="I75" s="39">
        <v>-112.62681000000001</v>
      </c>
      <c r="J75" s="37" t="s">
        <v>198</v>
      </c>
      <c r="K75" s="57">
        <v>0.09</v>
      </c>
      <c r="L75" s="58" t="s">
        <v>440</v>
      </c>
      <c r="M75" s="1" t="s">
        <v>1169</v>
      </c>
      <c r="N75" s="59" t="s">
        <v>45</v>
      </c>
      <c r="O75" s="41">
        <v>28</v>
      </c>
      <c r="P75" s="35">
        <v>5</v>
      </c>
      <c r="Q75" s="42">
        <v>6203630</v>
      </c>
      <c r="R75" s="86">
        <v>5396626</v>
      </c>
      <c r="S75" s="42"/>
      <c r="T75" s="42"/>
      <c r="V75" s="45">
        <v>0</v>
      </c>
      <c r="W75" s="6">
        <v>44347</v>
      </c>
      <c r="X75" s="6">
        <v>44197</v>
      </c>
      <c r="Y75" s="8">
        <f t="shared" si="26"/>
        <v>44347</v>
      </c>
      <c r="Z75" s="46">
        <f t="shared" si="27"/>
        <v>49460</v>
      </c>
      <c r="AA75" s="2">
        <v>31</v>
      </c>
      <c r="AB75" s="46">
        <f t="shared" si="35"/>
        <v>60783</v>
      </c>
      <c r="AC75" s="1" t="s">
        <v>1624</v>
      </c>
      <c r="AD75" s="1" t="s">
        <v>1245</v>
      </c>
      <c r="AE75" s="1" t="s">
        <v>1643</v>
      </c>
      <c r="AF75" s="1" t="s">
        <v>799</v>
      </c>
      <c r="AG75" s="1" t="s">
        <v>478</v>
      </c>
      <c r="AH75" s="36">
        <v>83707</v>
      </c>
      <c r="AI75" s="47" t="s">
        <v>1644</v>
      </c>
      <c r="AJ75" s="1">
        <v>2083314765</v>
      </c>
      <c r="AT75" s="50">
        <v>111</v>
      </c>
      <c r="AU75" s="35">
        <f t="shared" si="31"/>
        <v>29</v>
      </c>
      <c r="AW75" s="10"/>
      <c r="AX75" s="1">
        <v>4</v>
      </c>
      <c r="AY75" s="1">
        <v>16</v>
      </c>
      <c r="AZ75" s="1">
        <v>8</v>
      </c>
      <c r="BE75" s="1">
        <v>1</v>
      </c>
      <c r="BF75" s="36" t="s">
        <v>1756</v>
      </c>
      <c r="BJ75" s="36">
        <v>23</v>
      </c>
      <c r="BK75" s="36">
        <v>4</v>
      </c>
      <c r="BP75" s="1">
        <f t="shared" si="32"/>
        <v>27</v>
      </c>
      <c r="BQ75" s="51">
        <f t="shared" si="34"/>
        <v>0.51481481481481484</v>
      </c>
      <c r="BR75" s="52">
        <v>6385318</v>
      </c>
      <c r="BS75" s="52" t="e">
        <f>VLOOKUP(M75,#REF!,2,TRUE)*(BR75/1000000)</f>
        <v>#REF!</v>
      </c>
      <c r="BT75" s="43" t="e">
        <f>VLOOKUP(M75,#REF!,3,TRUE)*(BR75/1000000)</f>
        <v>#REF!</v>
      </c>
    </row>
    <row r="76" spans="1:72" ht="15" customHeight="1" x14ac:dyDescent="0.25">
      <c r="A76" s="6">
        <v>43766</v>
      </c>
      <c r="B76" s="35">
        <v>2020</v>
      </c>
      <c r="C76" s="36" t="s">
        <v>1014</v>
      </c>
      <c r="D76" s="37" t="s">
        <v>1620</v>
      </c>
      <c r="E76" s="1" t="s">
        <v>1652</v>
      </c>
      <c r="F76" s="37" t="s">
        <v>887</v>
      </c>
      <c r="G76" s="38">
        <v>59601</v>
      </c>
      <c r="H76" s="39">
        <v>46.587560000000003</v>
      </c>
      <c r="I76" s="39">
        <v>-112.04116999999999</v>
      </c>
      <c r="J76" s="37" t="s">
        <v>913</v>
      </c>
      <c r="K76" s="57">
        <v>0.09</v>
      </c>
      <c r="L76" s="58" t="s">
        <v>1154</v>
      </c>
      <c r="M76" s="1" t="s">
        <v>307</v>
      </c>
      <c r="N76" s="59" t="s">
        <v>45</v>
      </c>
      <c r="O76" s="41">
        <v>44</v>
      </c>
      <c r="P76" s="35">
        <v>2</v>
      </c>
      <c r="Q76" s="42">
        <v>6333750</v>
      </c>
      <c r="R76" s="86">
        <v>5446480</v>
      </c>
      <c r="S76" s="42"/>
      <c r="T76" s="42"/>
      <c r="W76" s="6">
        <v>44197</v>
      </c>
      <c r="X76" s="6">
        <v>44197</v>
      </c>
      <c r="Y76" s="8">
        <f t="shared" si="26"/>
        <v>44197</v>
      </c>
      <c r="Z76" s="46">
        <f t="shared" si="27"/>
        <v>49310</v>
      </c>
      <c r="AA76" s="2">
        <v>31</v>
      </c>
      <c r="AB76" s="46">
        <f t="shared" si="35"/>
        <v>60633</v>
      </c>
      <c r="AC76" s="1" t="s">
        <v>1628</v>
      </c>
      <c r="AD76" s="1" t="s">
        <v>1638</v>
      </c>
      <c r="AE76" s="1" t="s">
        <v>1637</v>
      </c>
      <c r="AF76" s="1" t="s">
        <v>338</v>
      </c>
      <c r="AG76" s="1" t="s">
        <v>472</v>
      </c>
      <c r="AH76" s="36">
        <v>59802</v>
      </c>
      <c r="AI76" s="47" t="s">
        <v>1639</v>
      </c>
      <c r="AJ76" s="1">
        <v>4067283040</v>
      </c>
      <c r="AT76" s="50">
        <v>323</v>
      </c>
      <c r="AU76" s="35">
        <f t="shared" si="31"/>
        <v>44</v>
      </c>
      <c r="AW76" s="10"/>
      <c r="AX76" s="1">
        <v>24</v>
      </c>
      <c r="AY76" s="1">
        <v>20</v>
      </c>
      <c r="BF76" s="36" t="s">
        <v>1755</v>
      </c>
      <c r="BI76" s="36">
        <v>5</v>
      </c>
      <c r="BJ76" s="36">
        <v>26</v>
      </c>
      <c r="BK76" s="36">
        <v>6</v>
      </c>
      <c r="BM76" s="36">
        <v>7</v>
      </c>
      <c r="BP76" s="1">
        <f t="shared" si="32"/>
        <v>44</v>
      </c>
      <c r="BQ76" s="51">
        <f t="shared" si="34"/>
        <v>0.55000000000000004</v>
      </c>
      <c r="BR76" s="52">
        <v>7203715</v>
      </c>
      <c r="BS76" s="52" t="e">
        <f>VLOOKUP(M76,#REF!,2,TRUE)*(BR76/1000000)</f>
        <v>#REF!</v>
      </c>
      <c r="BT76" s="43" t="e">
        <f>VLOOKUP(M76,#REF!,3,TRUE)*(BR76/1000000)</f>
        <v>#REF!</v>
      </c>
    </row>
    <row r="77" spans="1:72" ht="15" customHeight="1" x14ac:dyDescent="0.25">
      <c r="A77" s="6">
        <v>43766</v>
      </c>
      <c r="B77" s="35">
        <v>2020</v>
      </c>
      <c r="C77" s="36" t="s">
        <v>1014</v>
      </c>
      <c r="D77" s="37" t="s">
        <v>1653</v>
      </c>
      <c r="E77" s="1" t="s">
        <v>2228</v>
      </c>
      <c r="F77" s="37" t="s">
        <v>195</v>
      </c>
      <c r="G77" s="38">
        <v>59718</v>
      </c>
      <c r="H77" s="39">
        <v>45.697589999999998</v>
      </c>
      <c r="I77" s="39">
        <v>-111.07331499999999</v>
      </c>
      <c r="J77" s="37" t="s">
        <v>314</v>
      </c>
      <c r="K77" s="57">
        <v>0.09</v>
      </c>
      <c r="L77" s="58" t="s">
        <v>1154</v>
      </c>
      <c r="M77" s="1" t="s">
        <v>1169</v>
      </c>
      <c r="N77" s="59" t="s">
        <v>1152</v>
      </c>
      <c r="O77" s="41">
        <v>30</v>
      </c>
      <c r="P77" s="35">
        <v>1</v>
      </c>
      <c r="Q77" s="42">
        <v>6333750</v>
      </c>
      <c r="R77" s="86">
        <v>5446480</v>
      </c>
      <c r="S77" s="42"/>
      <c r="T77" s="42"/>
      <c r="W77" s="6">
        <v>45079</v>
      </c>
      <c r="X77" s="6">
        <v>44927</v>
      </c>
      <c r="Y77" s="8">
        <f t="shared" si="26"/>
        <v>45079</v>
      </c>
      <c r="Z77" s="46">
        <f t="shared" si="27"/>
        <v>50193</v>
      </c>
      <c r="AA77" s="2">
        <v>31</v>
      </c>
      <c r="AB77" s="46">
        <f t="shared" si="35"/>
        <v>61516</v>
      </c>
      <c r="AC77" s="1" t="s">
        <v>1625</v>
      </c>
      <c r="AD77" s="1" t="s">
        <v>2128</v>
      </c>
      <c r="AE77" s="1" t="s">
        <v>2129</v>
      </c>
      <c r="AF77" s="1" t="s">
        <v>338</v>
      </c>
      <c r="AG77" s="1" t="s">
        <v>472</v>
      </c>
      <c r="AH77" s="36">
        <v>59808</v>
      </c>
      <c r="AI77" s="47" t="s">
        <v>2091</v>
      </c>
      <c r="AJ77" s="1">
        <v>4068024487</v>
      </c>
      <c r="AK77" s="1" t="s">
        <v>2229</v>
      </c>
      <c r="AL77" s="1" t="s">
        <v>2031</v>
      </c>
      <c r="AN77" s="1" t="s">
        <v>338</v>
      </c>
      <c r="AO77" s="1" t="s">
        <v>472</v>
      </c>
      <c r="AP77" s="1">
        <v>59801</v>
      </c>
      <c r="AQ77" s="1" t="s">
        <v>2186</v>
      </c>
      <c r="AS77" s="1" t="s">
        <v>2230</v>
      </c>
      <c r="AT77" s="50">
        <v>113</v>
      </c>
      <c r="AU77" s="35">
        <f t="shared" si="31"/>
        <v>30</v>
      </c>
      <c r="AW77" s="10"/>
      <c r="AX77" s="1">
        <v>20</v>
      </c>
      <c r="AY77" s="1">
        <v>10</v>
      </c>
      <c r="BF77" s="36" t="s">
        <v>1756</v>
      </c>
      <c r="BI77" s="36">
        <v>3</v>
      </c>
      <c r="BJ77" s="36">
        <v>23</v>
      </c>
      <c r="BK77" s="36">
        <v>4</v>
      </c>
      <c r="BP77" s="1">
        <f t="shared" si="32"/>
        <v>30</v>
      </c>
      <c r="BQ77" s="51">
        <f t="shared" si="34"/>
        <v>0.5033333333333333</v>
      </c>
      <c r="BR77" s="52">
        <v>7203715</v>
      </c>
      <c r="BS77" s="52" t="e">
        <f>VLOOKUP(M77,#REF!,2,TRUE)*(BR77/1000000)</f>
        <v>#REF!</v>
      </c>
      <c r="BT77" s="43" t="e">
        <f>VLOOKUP(M77,#REF!,3,TRUE)*(BR77/1000000)</f>
        <v>#REF!</v>
      </c>
    </row>
    <row r="78" spans="1:72" s="71" customFormat="1" x14ac:dyDescent="0.25">
      <c r="A78" s="68">
        <v>43423</v>
      </c>
      <c r="B78" s="69">
        <v>2019</v>
      </c>
      <c r="C78" s="11" t="s">
        <v>1014</v>
      </c>
      <c r="D78" s="70" t="s">
        <v>1610</v>
      </c>
      <c r="E78" s="71" t="s">
        <v>1192</v>
      </c>
      <c r="F78" s="70" t="s">
        <v>899</v>
      </c>
      <c r="G78" s="12">
        <v>59722</v>
      </c>
      <c r="H78" s="39">
        <v>46.408918999999997</v>
      </c>
      <c r="I78" s="39">
        <v>-112.72872099999999</v>
      </c>
      <c r="J78" s="70" t="s">
        <v>376</v>
      </c>
      <c r="K78" s="73">
        <v>0.09</v>
      </c>
      <c r="L78" s="74" t="s">
        <v>84</v>
      </c>
      <c r="M78" s="71" t="s">
        <v>1169</v>
      </c>
      <c r="N78" s="75" t="s">
        <v>45</v>
      </c>
      <c r="O78" s="76" t="s">
        <v>1612</v>
      </c>
      <c r="P78" s="69"/>
      <c r="Q78" s="77">
        <v>617770</v>
      </c>
      <c r="R78" s="78"/>
      <c r="S78" s="77"/>
      <c r="T78" s="77"/>
      <c r="U78" s="79"/>
      <c r="V78" s="80"/>
      <c r="W78" s="68">
        <v>44098</v>
      </c>
      <c r="X78" s="68"/>
      <c r="Y78" s="8">
        <f t="shared" si="26"/>
        <v>44098</v>
      </c>
      <c r="Z78" s="46">
        <f t="shared" si="27"/>
        <v>49211</v>
      </c>
      <c r="AA78" s="82">
        <v>31</v>
      </c>
      <c r="AB78" s="46">
        <f t="shared" si="35"/>
        <v>60534</v>
      </c>
      <c r="AH78" s="11"/>
      <c r="AI78" s="47"/>
      <c r="AT78" s="84"/>
      <c r="AU78" s="69"/>
      <c r="AW78" s="13"/>
      <c r="BF78" s="11"/>
      <c r="BG78" s="11"/>
      <c r="BH78" s="11"/>
      <c r="BI78" s="11"/>
      <c r="BJ78" s="11"/>
      <c r="BK78" s="11"/>
      <c r="BL78" s="11"/>
      <c r="BM78" s="11"/>
      <c r="BN78" s="11"/>
      <c r="BR78" s="52"/>
      <c r="BS78" s="52"/>
      <c r="BT78" s="43"/>
    </row>
    <row r="79" spans="1:72" ht="15" customHeight="1" x14ac:dyDescent="0.25">
      <c r="A79" s="6">
        <v>43423</v>
      </c>
      <c r="B79" s="35">
        <v>2019</v>
      </c>
      <c r="C79" s="36" t="s">
        <v>1014</v>
      </c>
      <c r="D79" s="37" t="s">
        <v>1649</v>
      </c>
      <c r="E79" s="1" t="s">
        <v>1250</v>
      </c>
      <c r="F79" s="37" t="s">
        <v>1031</v>
      </c>
      <c r="G79" s="38">
        <v>59937</v>
      </c>
      <c r="H79" s="39">
        <v>48.415672999999998</v>
      </c>
      <c r="I79" s="39">
        <v>-114.34268899999999</v>
      </c>
      <c r="J79" s="37" t="s">
        <v>343</v>
      </c>
      <c r="K79" s="57">
        <v>0.09</v>
      </c>
      <c r="L79" s="58" t="s">
        <v>440</v>
      </c>
      <c r="M79" s="1" t="s">
        <v>1169</v>
      </c>
      <c r="N79" s="59" t="s">
        <v>45</v>
      </c>
      <c r="O79" s="41">
        <v>38</v>
      </c>
      <c r="P79" s="35">
        <v>3</v>
      </c>
      <c r="Q79" s="42">
        <v>6750000</v>
      </c>
      <c r="R79" s="86">
        <v>6075000</v>
      </c>
      <c r="S79" s="42"/>
      <c r="T79" s="42"/>
      <c r="W79" s="6">
        <v>44134</v>
      </c>
      <c r="X79" s="6">
        <v>44197</v>
      </c>
      <c r="Y79" s="8">
        <f t="shared" si="26"/>
        <v>44197</v>
      </c>
      <c r="Z79" s="46">
        <f t="shared" si="27"/>
        <v>49310</v>
      </c>
      <c r="AA79" s="2">
        <v>31</v>
      </c>
      <c r="AB79" s="46">
        <f t="shared" si="35"/>
        <v>60633</v>
      </c>
      <c r="AC79" s="1" t="s">
        <v>1208</v>
      </c>
      <c r="AD79" s="1" t="s">
        <v>740</v>
      </c>
      <c r="AE79" s="1" t="s">
        <v>1209</v>
      </c>
      <c r="AF79" s="1" t="s">
        <v>338</v>
      </c>
      <c r="AG79" s="1" t="s">
        <v>472</v>
      </c>
      <c r="AH79" s="36">
        <v>59808</v>
      </c>
      <c r="AI79" s="47" t="s">
        <v>1210</v>
      </c>
      <c r="AJ79" s="1">
        <v>4065324663</v>
      </c>
      <c r="AT79" s="50"/>
      <c r="AU79" s="35">
        <f t="shared" ref="AU79" si="36">SUM(AV79:BE79)</f>
        <v>38</v>
      </c>
      <c r="AW79" s="10"/>
      <c r="AX79" s="1">
        <v>12</v>
      </c>
      <c r="AY79" s="1">
        <v>20</v>
      </c>
      <c r="AZ79" s="1">
        <v>6</v>
      </c>
      <c r="BF79" s="36" t="s">
        <v>1756</v>
      </c>
      <c r="BI79" s="36">
        <v>4</v>
      </c>
      <c r="BJ79" s="36">
        <v>24</v>
      </c>
      <c r="BK79" s="36">
        <v>10</v>
      </c>
      <c r="BO79" s="1">
        <v>1</v>
      </c>
      <c r="BP79" s="1">
        <f t="shared" ref="BP79" si="37">SUM(BH79:BO79)</f>
        <v>39</v>
      </c>
      <c r="BQ79" s="51">
        <f t="shared" ref="BQ79" si="38">((BH79*BH$1)+(BI79*BI$1)+(BJ79*BJ$1)+(BK79*BK$1)+(BL79*BL$1)+(BM79*BM$1))/SUM(BH79:BM79)</f>
        <v>0.51578947368421058</v>
      </c>
      <c r="BR79" s="52">
        <v>8708814</v>
      </c>
      <c r="BS79" s="52" t="e">
        <f>VLOOKUP(M79,#REF!,2,TRUE)*(BR79/1000000)</f>
        <v>#REF!</v>
      </c>
      <c r="BT79" s="43" t="e">
        <f>VLOOKUP(M79,#REF!,3,TRUE)*(BR79/1000000)</f>
        <v>#REF!</v>
      </c>
    </row>
    <row r="80" spans="1:72" ht="15" customHeight="1" x14ac:dyDescent="0.25">
      <c r="A80" s="6">
        <v>43760</v>
      </c>
      <c r="B80" s="35">
        <v>2019</v>
      </c>
      <c r="C80" s="36" t="s">
        <v>1014</v>
      </c>
      <c r="D80" s="37" t="s">
        <v>1727</v>
      </c>
      <c r="E80" s="1" t="s">
        <v>1249</v>
      </c>
      <c r="F80" s="37" t="s">
        <v>887</v>
      </c>
      <c r="G80" s="38">
        <v>59601</v>
      </c>
      <c r="H80" s="39">
        <v>46.612290000000002</v>
      </c>
      <c r="I80" s="39">
        <v>-112.05502</v>
      </c>
      <c r="J80" s="37" t="s">
        <v>913</v>
      </c>
      <c r="K80" s="57">
        <v>0.04</v>
      </c>
      <c r="L80" s="58" t="s">
        <v>440</v>
      </c>
      <c r="M80" s="1" t="s">
        <v>1169</v>
      </c>
      <c r="N80" s="59" t="s">
        <v>45</v>
      </c>
      <c r="O80" s="41">
        <v>48</v>
      </c>
      <c r="P80" s="35">
        <v>14</v>
      </c>
      <c r="Q80" s="42">
        <v>3150940</v>
      </c>
      <c r="R80" s="86">
        <v>3402674</v>
      </c>
      <c r="S80" s="42">
        <v>6000000</v>
      </c>
      <c r="T80" s="42">
        <v>3900000</v>
      </c>
      <c r="U80" s="53">
        <v>4.7500000000000001E-2</v>
      </c>
      <c r="V80" s="45">
        <v>35</v>
      </c>
      <c r="W80" s="6">
        <v>44167</v>
      </c>
      <c r="X80" s="6">
        <v>44197</v>
      </c>
      <c r="Y80" s="8">
        <f t="shared" si="26"/>
        <v>44197</v>
      </c>
      <c r="Z80" s="46">
        <f t="shared" si="27"/>
        <v>49310</v>
      </c>
      <c r="AA80" s="2">
        <v>31</v>
      </c>
      <c r="AB80" s="46">
        <f t="shared" si="35"/>
        <v>60633</v>
      </c>
      <c r="AC80" s="1" t="s">
        <v>1850</v>
      </c>
      <c r="AI80" s="47" t="s">
        <v>1207</v>
      </c>
      <c r="AT80" s="50"/>
      <c r="AU80" s="35"/>
      <c r="AW80" s="10"/>
      <c r="BR80" s="52">
        <v>11521105</v>
      </c>
      <c r="BS80" s="52" t="e">
        <f>VLOOKUP(M80,#REF!,2,TRUE)*(BR80/1000000)</f>
        <v>#REF!</v>
      </c>
      <c r="BT80" s="43" t="e">
        <f>VLOOKUP(M80,#REF!,3,TRUE)*(BR80/1000000)</f>
        <v>#REF!</v>
      </c>
    </row>
    <row r="81" spans="1:72" s="71" customFormat="1" x14ac:dyDescent="0.25">
      <c r="A81" s="7">
        <v>43059</v>
      </c>
      <c r="B81" s="11">
        <v>2019</v>
      </c>
      <c r="C81" s="11" t="s">
        <v>1014</v>
      </c>
      <c r="D81" s="71" t="s">
        <v>2073</v>
      </c>
      <c r="E81" s="71" t="s">
        <v>1449</v>
      </c>
      <c r="F81" s="71" t="s">
        <v>989</v>
      </c>
      <c r="G81" s="12">
        <v>59047</v>
      </c>
      <c r="H81" s="39">
        <v>45.649383027712503</v>
      </c>
      <c r="I81" s="39">
        <v>-110.569253440834</v>
      </c>
      <c r="J81" s="71" t="s">
        <v>412</v>
      </c>
      <c r="K81" s="89">
        <v>0.09</v>
      </c>
      <c r="L81" s="11" t="s">
        <v>440</v>
      </c>
      <c r="M81" s="71" t="s">
        <v>307</v>
      </c>
      <c r="N81" s="11" t="s">
        <v>45</v>
      </c>
      <c r="O81" s="76">
        <v>34</v>
      </c>
      <c r="P81" s="76">
        <v>1</v>
      </c>
      <c r="Q81" s="77">
        <v>5800000</v>
      </c>
      <c r="R81" s="77">
        <v>5219478</v>
      </c>
      <c r="S81" s="77"/>
      <c r="T81" s="77"/>
      <c r="U81" s="79"/>
      <c r="V81" s="80"/>
      <c r="W81" s="7">
        <v>44074</v>
      </c>
      <c r="X81" s="7"/>
      <c r="Y81" s="8">
        <f t="shared" si="26"/>
        <v>44074</v>
      </c>
      <c r="Z81" s="46">
        <f t="shared" si="27"/>
        <v>49187</v>
      </c>
      <c r="AA81" s="3">
        <v>31</v>
      </c>
      <c r="AB81" s="46">
        <f t="shared" si="35"/>
        <v>60510</v>
      </c>
      <c r="AC81" s="71" t="s">
        <v>993</v>
      </c>
      <c r="AD81" s="71" t="s">
        <v>505</v>
      </c>
      <c r="AE81" s="71" t="s">
        <v>994</v>
      </c>
      <c r="AF81" s="71" t="s">
        <v>957</v>
      </c>
      <c r="AH81" s="11"/>
      <c r="AI81" s="47"/>
      <c r="AT81" s="90"/>
      <c r="AU81" s="11"/>
      <c r="BF81" s="11"/>
      <c r="BG81" s="11"/>
      <c r="BH81" s="11"/>
      <c r="BI81" s="11"/>
      <c r="BJ81" s="11"/>
      <c r="BK81" s="11"/>
      <c r="BL81" s="11"/>
      <c r="BM81" s="11"/>
      <c r="BN81" s="11"/>
      <c r="BR81" s="52"/>
      <c r="BS81" s="52" t="e">
        <f>VLOOKUP(M81,#REF!,2,TRUE)*(BR81/1000000)</f>
        <v>#REF!</v>
      </c>
      <c r="BT81" s="43" t="e">
        <f>VLOOKUP(M81,#REF!,3,TRUE)*(BR81/1000000)</f>
        <v>#REF!</v>
      </c>
    </row>
    <row r="82" spans="1:72" ht="15" customHeight="1" x14ac:dyDescent="0.25">
      <c r="A82" s="6">
        <v>43423</v>
      </c>
      <c r="B82" s="35">
        <v>2019</v>
      </c>
      <c r="C82" s="36" t="s">
        <v>1014</v>
      </c>
      <c r="D82" s="37" t="s">
        <v>1684</v>
      </c>
      <c r="E82" s="1" t="s">
        <v>1249</v>
      </c>
      <c r="F82" s="37" t="s">
        <v>887</v>
      </c>
      <c r="G82" s="38">
        <v>59601</v>
      </c>
      <c r="H82" s="39">
        <v>46.612290000000002</v>
      </c>
      <c r="I82" s="39">
        <v>-112.05502</v>
      </c>
      <c r="J82" s="37" t="s">
        <v>913</v>
      </c>
      <c r="K82" s="57">
        <v>0.09</v>
      </c>
      <c r="L82" s="58" t="s">
        <v>440</v>
      </c>
      <c r="M82" s="88" t="s">
        <v>1169</v>
      </c>
      <c r="N82" s="59" t="s">
        <v>45</v>
      </c>
      <c r="O82" s="41">
        <v>37</v>
      </c>
      <c r="P82" s="35">
        <v>11</v>
      </c>
      <c r="Q82" s="42">
        <v>7790000</v>
      </c>
      <c r="R82" s="86">
        <v>6075592</v>
      </c>
      <c r="S82" s="42"/>
      <c r="T82" s="42"/>
      <c r="W82" s="6">
        <v>44130</v>
      </c>
      <c r="X82" s="6">
        <v>44197</v>
      </c>
      <c r="Y82" s="8">
        <f t="shared" si="26"/>
        <v>44197</v>
      </c>
      <c r="Z82" s="46">
        <f t="shared" si="27"/>
        <v>49310</v>
      </c>
      <c r="AA82" s="2">
        <v>31</v>
      </c>
      <c r="AB82" s="46">
        <f t="shared" si="35"/>
        <v>60633</v>
      </c>
      <c r="AC82" s="1" t="s">
        <v>1205</v>
      </c>
      <c r="AD82" s="1" t="s">
        <v>1206</v>
      </c>
      <c r="AE82" s="1" t="s">
        <v>215</v>
      </c>
      <c r="AF82" s="1" t="s">
        <v>887</v>
      </c>
      <c r="AG82" s="1" t="s">
        <v>472</v>
      </c>
      <c r="AH82" s="36">
        <v>59624</v>
      </c>
      <c r="AI82" s="47" t="s">
        <v>1207</v>
      </c>
      <c r="AJ82" s="1">
        <v>4064577473</v>
      </c>
      <c r="AT82" s="50"/>
      <c r="AU82" s="35"/>
      <c r="AW82" s="10"/>
      <c r="BR82" s="52">
        <v>8268072</v>
      </c>
      <c r="BS82" s="52" t="e">
        <f>VLOOKUP(M82,#REF!,2,TRUE)*(BR82/1000000)</f>
        <v>#REF!</v>
      </c>
      <c r="BT82" s="43" t="e">
        <f>VLOOKUP(M82,#REF!,3,TRUE)*(BR82/1000000)</f>
        <v>#REF!</v>
      </c>
    </row>
    <row r="83" spans="1:72" s="93" customFormat="1" ht="15" customHeight="1" x14ac:dyDescent="0.25">
      <c r="A83" s="6">
        <v>43423</v>
      </c>
      <c r="B83" s="36">
        <v>2019</v>
      </c>
      <c r="C83" s="36" t="s">
        <v>1014</v>
      </c>
      <c r="D83" s="1" t="s">
        <v>1201</v>
      </c>
      <c r="E83" s="1" t="s">
        <v>1248</v>
      </c>
      <c r="F83" s="1" t="s">
        <v>192</v>
      </c>
      <c r="G83" s="38">
        <v>59102</v>
      </c>
      <c r="H83" s="39">
        <v>45.797939999999997</v>
      </c>
      <c r="I83" s="39">
        <v>-108.61602999999999</v>
      </c>
      <c r="J83" s="1" t="s">
        <v>300</v>
      </c>
      <c r="K83" s="40">
        <v>0.09</v>
      </c>
      <c r="L83" s="58" t="s">
        <v>440</v>
      </c>
      <c r="M83" s="1" t="s">
        <v>1169</v>
      </c>
      <c r="N83" s="36" t="s">
        <v>1152</v>
      </c>
      <c r="O83" s="41">
        <v>54</v>
      </c>
      <c r="P83" s="36">
        <v>1</v>
      </c>
      <c r="Q83" s="91">
        <v>8023110</v>
      </c>
      <c r="R83" s="64">
        <v>7099742</v>
      </c>
      <c r="S83" s="64"/>
      <c r="T83" s="64"/>
      <c r="U83" s="53"/>
      <c r="V83" s="45"/>
      <c r="W83" s="8">
        <v>44197</v>
      </c>
      <c r="X83" s="8">
        <v>44197</v>
      </c>
      <c r="Y83" s="8">
        <f t="shared" si="26"/>
        <v>44197</v>
      </c>
      <c r="Z83" s="46">
        <f t="shared" si="27"/>
        <v>49310</v>
      </c>
      <c r="AA83" s="4">
        <v>31</v>
      </c>
      <c r="AB83" s="46">
        <f t="shared" si="35"/>
        <v>60633</v>
      </c>
      <c r="AC83" s="1" t="s">
        <v>1200</v>
      </c>
      <c r="AD83" s="1" t="s">
        <v>1202</v>
      </c>
      <c r="AE83" s="1" t="s">
        <v>1203</v>
      </c>
      <c r="AF83" s="1" t="s">
        <v>192</v>
      </c>
      <c r="AG83" s="1" t="s">
        <v>472</v>
      </c>
      <c r="AH83" s="36">
        <v>59102</v>
      </c>
      <c r="AI83" s="47" t="s">
        <v>1204</v>
      </c>
      <c r="AJ83" s="1">
        <v>4066555623</v>
      </c>
      <c r="AK83" s="1"/>
      <c r="AL83" s="1"/>
      <c r="AM83" s="1"/>
      <c r="AN83" s="1"/>
      <c r="AO83" s="1"/>
      <c r="AP83" s="1"/>
      <c r="AQ83" s="1"/>
      <c r="AR83" s="1"/>
      <c r="AS83" s="1"/>
      <c r="AT83" s="56"/>
      <c r="AU83" s="35">
        <f t="shared" ref="AU83:AU85" si="39">SUM(AV83:BE83)</f>
        <v>54</v>
      </c>
      <c r="AV83" s="1"/>
      <c r="AW83" s="1"/>
      <c r="AX83" s="1">
        <v>54</v>
      </c>
      <c r="AY83" s="1"/>
      <c r="AZ83" s="1"/>
      <c r="BA83" s="1"/>
      <c r="BB83" s="1"/>
      <c r="BC83" s="1"/>
      <c r="BD83" s="1"/>
      <c r="BE83" s="1"/>
      <c r="BF83" s="92" t="s">
        <v>1756</v>
      </c>
      <c r="BG83" s="92"/>
      <c r="BH83" s="92">
        <v>8</v>
      </c>
      <c r="BI83" s="92"/>
      <c r="BJ83" s="92">
        <v>34</v>
      </c>
      <c r="BK83" s="92">
        <v>12</v>
      </c>
      <c r="BL83" s="92"/>
      <c r="BM83" s="92"/>
      <c r="BN83" s="92">
        <v>2</v>
      </c>
      <c r="BP83" s="1">
        <f t="shared" ref="BP83" si="40">SUM(BH83:BO83)</f>
        <v>56</v>
      </c>
      <c r="BQ83" s="51">
        <f t="shared" ref="BQ83" si="41">((BH83*BH$1)+(BI83*BI$1)+(BJ83*BJ$1)+(BK83*BK$1)+(BL83*BL$1)+(BM83*BM$1))/SUM(BH83:BM83)</f>
        <v>0.49259259259259253</v>
      </c>
      <c r="BR83" s="52">
        <v>10360579</v>
      </c>
      <c r="BS83" s="52" t="e">
        <f>VLOOKUP(M83,#REF!,2,TRUE)*(BR83/1000000)</f>
        <v>#REF!</v>
      </c>
      <c r="BT83" s="43" t="e">
        <f>VLOOKUP(M83,#REF!,3,TRUE)*(BR83/1000000)</f>
        <v>#REF!</v>
      </c>
    </row>
    <row r="84" spans="1:72" s="93" customFormat="1" ht="15" customHeight="1" x14ac:dyDescent="0.25">
      <c r="A84" s="6">
        <v>43423</v>
      </c>
      <c r="B84" s="36">
        <v>2019</v>
      </c>
      <c r="C84" s="36" t="s">
        <v>1014</v>
      </c>
      <c r="D84" s="1" t="s">
        <v>1196</v>
      </c>
      <c r="E84" s="1" t="s">
        <v>1451</v>
      </c>
      <c r="F84" s="1" t="s">
        <v>1038</v>
      </c>
      <c r="G84" s="38">
        <v>59864</v>
      </c>
      <c r="H84" s="39">
        <v>47.532310000000003</v>
      </c>
      <c r="I84" s="39">
        <v>-114.11508000000001</v>
      </c>
      <c r="J84" s="1" t="s">
        <v>318</v>
      </c>
      <c r="K84" s="40">
        <v>0.09</v>
      </c>
      <c r="L84" s="58" t="s">
        <v>440</v>
      </c>
      <c r="M84" s="1" t="s">
        <v>1169</v>
      </c>
      <c r="N84" s="36" t="s">
        <v>45</v>
      </c>
      <c r="O84" s="41">
        <v>24</v>
      </c>
      <c r="P84" s="36">
        <v>2</v>
      </c>
      <c r="Q84" s="91">
        <v>4493320</v>
      </c>
      <c r="R84" s="64">
        <v>3886722</v>
      </c>
      <c r="S84" s="64"/>
      <c r="T84" s="64"/>
      <c r="U84" s="53"/>
      <c r="V84" s="45"/>
      <c r="W84" s="8">
        <v>44439</v>
      </c>
      <c r="X84" s="8"/>
      <c r="Y84" s="8">
        <f t="shared" si="26"/>
        <v>44439</v>
      </c>
      <c r="Z84" s="46">
        <f t="shared" si="27"/>
        <v>49552</v>
      </c>
      <c r="AA84" s="4">
        <v>31</v>
      </c>
      <c r="AB84" s="46">
        <f t="shared" si="35"/>
        <v>60875</v>
      </c>
      <c r="AC84" s="1" t="s">
        <v>2050</v>
      </c>
      <c r="AD84" s="1" t="s">
        <v>1197</v>
      </c>
      <c r="AE84" s="1" t="s">
        <v>1198</v>
      </c>
      <c r="AF84" s="1" t="s">
        <v>1038</v>
      </c>
      <c r="AG84" s="1" t="s">
        <v>472</v>
      </c>
      <c r="AH84" s="36">
        <v>59864</v>
      </c>
      <c r="AI84" s="47" t="s">
        <v>1199</v>
      </c>
      <c r="AJ84" s="1">
        <v>4066765900</v>
      </c>
      <c r="AK84" s="1"/>
      <c r="AL84" s="1"/>
      <c r="AM84" s="1"/>
      <c r="AN84" s="1"/>
      <c r="AO84" s="1"/>
      <c r="AP84" s="1"/>
      <c r="AQ84" s="1"/>
      <c r="AR84" s="1"/>
      <c r="AS84" s="1"/>
      <c r="AT84" s="56"/>
      <c r="AU84" s="35">
        <f t="shared" si="39"/>
        <v>24</v>
      </c>
      <c r="AV84" s="1"/>
      <c r="AW84" s="1"/>
      <c r="AX84" s="1">
        <v>4</v>
      </c>
      <c r="AY84" s="1">
        <v>12</v>
      </c>
      <c r="AZ84" s="1">
        <v>8</v>
      </c>
      <c r="BA84" s="1"/>
      <c r="BB84" s="1"/>
      <c r="BC84" s="1"/>
      <c r="BD84" s="1"/>
      <c r="BE84" s="1"/>
      <c r="BF84" s="36" t="s">
        <v>1756</v>
      </c>
      <c r="BG84" s="92"/>
      <c r="BH84" s="92"/>
      <c r="BI84" s="36">
        <v>4</v>
      </c>
      <c r="BJ84" s="36">
        <v>12</v>
      </c>
      <c r="BK84" s="36">
        <v>8</v>
      </c>
      <c r="BL84" s="92"/>
      <c r="BM84" s="92"/>
      <c r="BN84" s="92"/>
      <c r="BP84" s="1">
        <f t="shared" ref="BP84:BP85" si="42">SUM(BH84:BO84)</f>
        <v>24</v>
      </c>
      <c r="BQ84" s="51">
        <f t="shared" ref="BQ84:BQ85" si="43">((BH84*BH$1)+(BI84*BI$1)+(BJ84*BJ$1)+(BK84*BK$1)+(BL84*BL$1)+(BM84*BM$1))/SUM(BH84:BM84)</f>
        <v>0.51666666666666661</v>
      </c>
      <c r="BR84" s="52">
        <v>5594894</v>
      </c>
      <c r="BS84" s="52" t="e">
        <f>VLOOKUP(M84,#REF!,2,TRUE)*(BR84/1000000)</f>
        <v>#REF!</v>
      </c>
      <c r="BT84" s="43" t="e">
        <f>VLOOKUP(M84,#REF!,3,TRUE)*(BR84/1000000)</f>
        <v>#REF!</v>
      </c>
    </row>
    <row r="85" spans="1:72" s="93" customFormat="1" ht="15" customHeight="1" x14ac:dyDescent="0.25">
      <c r="A85" s="6">
        <v>43423</v>
      </c>
      <c r="B85" s="36">
        <v>2019</v>
      </c>
      <c r="C85" s="36" t="s">
        <v>1014</v>
      </c>
      <c r="D85" s="1" t="s">
        <v>1193</v>
      </c>
      <c r="E85" s="1" t="s">
        <v>1450</v>
      </c>
      <c r="F85" s="1" t="s">
        <v>760</v>
      </c>
      <c r="G85" s="38">
        <v>59501</v>
      </c>
      <c r="H85" s="39">
        <v>48.554369999999999</v>
      </c>
      <c r="I85" s="39">
        <v>-109.65433</v>
      </c>
      <c r="J85" s="1" t="s">
        <v>303</v>
      </c>
      <c r="K85" s="40">
        <v>0.09</v>
      </c>
      <c r="L85" s="58" t="s">
        <v>440</v>
      </c>
      <c r="M85" s="1" t="s">
        <v>307</v>
      </c>
      <c r="N85" s="36" t="s">
        <v>45</v>
      </c>
      <c r="O85" s="41">
        <v>60</v>
      </c>
      <c r="P85" s="36">
        <v>4</v>
      </c>
      <c r="Q85" s="91">
        <v>3881250</v>
      </c>
      <c r="R85" s="64">
        <v>3221115</v>
      </c>
      <c r="S85" s="64"/>
      <c r="T85" s="64"/>
      <c r="U85" s="53"/>
      <c r="V85" s="45"/>
      <c r="W85" s="8">
        <v>44424</v>
      </c>
      <c r="X85" s="8"/>
      <c r="Y85" s="8">
        <f t="shared" si="26"/>
        <v>44424</v>
      </c>
      <c r="Z85" s="46">
        <f t="shared" si="27"/>
        <v>49537</v>
      </c>
      <c r="AA85" s="4">
        <v>31</v>
      </c>
      <c r="AB85" s="46">
        <f t="shared" si="35"/>
        <v>60860</v>
      </c>
      <c r="AC85" s="1" t="s">
        <v>1179</v>
      </c>
      <c r="AD85" s="1" t="s">
        <v>947</v>
      </c>
      <c r="AE85" s="1" t="s">
        <v>948</v>
      </c>
      <c r="AF85" s="1" t="s">
        <v>1194</v>
      </c>
      <c r="AG85" s="1" t="s">
        <v>72</v>
      </c>
      <c r="AH85" s="36">
        <v>48072</v>
      </c>
      <c r="AI85" s="47" t="s">
        <v>1195</v>
      </c>
      <c r="AJ85" s="1">
        <v>2485252516</v>
      </c>
      <c r="AK85" s="1"/>
      <c r="AL85" s="1"/>
      <c r="AM85" s="1"/>
      <c r="AN85" s="1"/>
      <c r="AO85" s="1"/>
      <c r="AP85" s="1"/>
      <c r="AQ85" s="1"/>
      <c r="AR85" s="1"/>
      <c r="AS85" s="1"/>
      <c r="AT85" s="56"/>
      <c r="AU85" s="35">
        <f t="shared" si="39"/>
        <v>60</v>
      </c>
      <c r="AV85" s="1"/>
      <c r="AW85" s="1"/>
      <c r="AX85" s="1"/>
      <c r="AY85" s="1">
        <f>23+12+1</f>
        <v>36</v>
      </c>
      <c r="AZ85" s="1">
        <f>16+7+1</f>
        <v>24</v>
      </c>
      <c r="BA85" s="1"/>
      <c r="BB85" s="1"/>
      <c r="BC85" s="1"/>
      <c r="BD85" s="1"/>
      <c r="BE85" s="1"/>
      <c r="BF85" s="36" t="s">
        <v>1756</v>
      </c>
      <c r="BG85" s="36"/>
      <c r="BH85" s="36">
        <v>39</v>
      </c>
      <c r="BI85" s="36">
        <v>19</v>
      </c>
      <c r="BJ85" s="36">
        <v>2</v>
      </c>
      <c r="BK85" s="36"/>
      <c r="BL85" s="92"/>
      <c r="BM85" s="92"/>
      <c r="BN85" s="92"/>
      <c r="BP85" s="1">
        <f t="shared" si="42"/>
        <v>60</v>
      </c>
      <c r="BQ85" s="51">
        <f t="shared" si="43"/>
        <v>0.33833333333333332</v>
      </c>
      <c r="BR85" s="52">
        <v>7716755</v>
      </c>
      <c r="BS85" s="52" t="e">
        <f>VLOOKUP(M85,#REF!,2,TRUE)*(BR85/1000000)</f>
        <v>#REF!</v>
      </c>
      <c r="BT85" s="43" t="e">
        <f>VLOOKUP(M85,#REF!,3,TRUE)*(BR85/1000000)</f>
        <v>#REF!</v>
      </c>
    </row>
    <row r="86" spans="1:72" s="93" customFormat="1" ht="15" customHeight="1" x14ac:dyDescent="0.25">
      <c r="A86" s="7">
        <v>42758</v>
      </c>
      <c r="B86" s="11">
        <v>2018</v>
      </c>
      <c r="C86" s="11" t="s">
        <v>1014</v>
      </c>
      <c r="D86" s="71" t="s">
        <v>1165</v>
      </c>
      <c r="E86" s="71" t="s">
        <v>1446</v>
      </c>
      <c r="F86" s="71" t="s">
        <v>919</v>
      </c>
      <c r="G86" s="12">
        <v>59218</v>
      </c>
      <c r="H86" s="39">
        <v>48.145356</v>
      </c>
      <c r="I86" s="72">
        <v>-104.518564</v>
      </c>
      <c r="J86" s="71" t="s">
        <v>895</v>
      </c>
      <c r="K86" s="89">
        <v>0.09</v>
      </c>
      <c r="L86" s="11" t="s">
        <v>918</v>
      </c>
      <c r="M86" s="71" t="s">
        <v>307</v>
      </c>
      <c r="N86" s="11" t="s">
        <v>45</v>
      </c>
      <c r="O86" s="76">
        <v>16</v>
      </c>
      <c r="P86" s="76">
        <v>2</v>
      </c>
      <c r="Q86" s="77">
        <v>330000</v>
      </c>
      <c r="R86" s="77">
        <f>2594345-2372000</f>
        <v>222345</v>
      </c>
      <c r="S86" s="77"/>
      <c r="T86" s="77"/>
      <c r="U86" s="79"/>
      <c r="V86" s="80"/>
      <c r="W86" s="8">
        <v>43586</v>
      </c>
      <c r="X86" s="8"/>
      <c r="Y86" s="8">
        <f t="shared" si="26"/>
        <v>43586</v>
      </c>
      <c r="Z86" s="46">
        <f t="shared" si="27"/>
        <v>48700</v>
      </c>
      <c r="AA86" s="3">
        <v>31</v>
      </c>
      <c r="AB86" s="46">
        <f t="shared" si="35"/>
        <v>60023</v>
      </c>
      <c r="AC86" s="71" t="s">
        <v>934</v>
      </c>
      <c r="AD86" s="71" t="s">
        <v>976</v>
      </c>
      <c r="AE86" s="71" t="s">
        <v>935</v>
      </c>
      <c r="AF86" s="71" t="s">
        <v>936</v>
      </c>
      <c r="AG86" s="71"/>
      <c r="AH86" s="11"/>
      <c r="AI86" s="47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90"/>
      <c r="AU86" s="11">
        <v>16</v>
      </c>
      <c r="AV86" s="71"/>
      <c r="AW86" s="71"/>
      <c r="AX86" s="71">
        <v>8</v>
      </c>
      <c r="AY86" s="71">
        <v>8</v>
      </c>
      <c r="AZ86" s="71"/>
      <c r="BA86" s="71"/>
      <c r="BB86" s="71"/>
      <c r="BC86" s="71"/>
      <c r="BD86" s="71"/>
      <c r="BE86" s="71"/>
      <c r="BF86" s="92"/>
      <c r="BG86" s="92"/>
      <c r="BH86" s="92"/>
      <c r="BI86" s="92"/>
      <c r="BJ86" s="92"/>
      <c r="BK86" s="92"/>
      <c r="BL86" s="92"/>
      <c r="BM86" s="92"/>
      <c r="BN86" s="92"/>
      <c r="BR86" s="52">
        <v>3759345</v>
      </c>
      <c r="BS86" s="52" t="e">
        <f>VLOOKUP(M86,#REF!,2,TRUE)*(BR86/1000000)</f>
        <v>#REF!</v>
      </c>
      <c r="BT86" s="43" t="e">
        <f>VLOOKUP(M86,#REF!,3,TRUE)*(BR86/1000000)</f>
        <v>#REF!</v>
      </c>
    </row>
    <row r="87" spans="1:72" s="93" customFormat="1" ht="15" customHeight="1" x14ac:dyDescent="0.25">
      <c r="A87" s="7">
        <v>42388</v>
      </c>
      <c r="B87" s="11">
        <v>2018</v>
      </c>
      <c r="C87" s="11" t="s">
        <v>1014</v>
      </c>
      <c r="D87" s="71" t="s">
        <v>1135</v>
      </c>
      <c r="E87" s="71" t="s">
        <v>1443</v>
      </c>
      <c r="F87" s="71" t="s">
        <v>812</v>
      </c>
      <c r="G87" s="12">
        <v>59201</v>
      </c>
      <c r="H87" s="39">
        <v>48.102020000000003</v>
      </c>
      <c r="I87" s="72">
        <v>-105.64167999999999</v>
      </c>
      <c r="J87" s="71" t="s">
        <v>213</v>
      </c>
      <c r="K87" s="89">
        <v>0.09</v>
      </c>
      <c r="L87" s="11" t="s">
        <v>84</v>
      </c>
      <c r="M87" s="71" t="s">
        <v>1169</v>
      </c>
      <c r="N87" s="11" t="s">
        <v>45</v>
      </c>
      <c r="O87" s="76">
        <v>28</v>
      </c>
      <c r="P87" s="76">
        <v>1</v>
      </c>
      <c r="Q87" s="77">
        <v>550000</v>
      </c>
      <c r="R87" s="77">
        <v>429000</v>
      </c>
      <c r="S87" s="77"/>
      <c r="T87" s="77"/>
      <c r="U87" s="79"/>
      <c r="V87" s="80"/>
      <c r="W87" s="8">
        <v>43061</v>
      </c>
      <c r="X87" s="8"/>
      <c r="Y87" s="8">
        <f t="shared" si="26"/>
        <v>43061</v>
      </c>
      <c r="Z87" s="46">
        <f t="shared" si="27"/>
        <v>48174</v>
      </c>
      <c r="AA87" s="3">
        <v>31</v>
      </c>
      <c r="AB87" s="46">
        <f t="shared" si="35"/>
        <v>59497</v>
      </c>
      <c r="AC87" s="71" t="s">
        <v>975</v>
      </c>
      <c r="AD87" s="71" t="s">
        <v>976</v>
      </c>
      <c r="AE87" s="71" t="s">
        <v>935</v>
      </c>
      <c r="AF87" s="71" t="s">
        <v>936</v>
      </c>
      <c r="AG87" s="71"/>
      <c r="AH87" s="11"/>
      <c r="AI87" s="47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90"/>
      <c r="AU87" s="11">
        <v>28</v>
      </c>
      <c r="AV87" s="71"/>
      <c r="AW87" s="71"/>
      <c r="AX87" s="71">
        <v>8</v>
      </c>
      <c r="AY87" s="71">
        <v>12</v>
      </c>
      <c r="AZ87" s="71">
        <v>8</v>
      </c>
      <c r="BA87" s="71"/>
      <c r="BB87" s="71"/>
      <c r="BC87" s="71"/>
      <c r="BD87" s="71"/>
      <c r="BE87" s="71"/>
      <c r="BF87" s="92"/>
      <c r="BG87" s="92"/>
      <c r="BH87" s="92"/>
      <c r="BI87" s="92"/>
      <c r="BJ87" s="92"/>
      <c r="BK87" s="92"/>
      <c r="BL87" s="92"/>
      <c r="BM87" s="92"/>
      <c r="BN87" s="92"/>
      <c r="BR87" s="52">
        <v>6814207</v>
      </c>
      <c r="BS87" s="52" t="e">
        <f>VLOOKUP(M87,#REF!,2,TRUE)*(BR87/1000000)</f>
        <v>#REF!</v>
      </c>
      <c r="BT87" s="43" t="e">
        <f>VLOOKUP(M87,#REF!,3,TRUE)*(BR87/1000000)</f>
        <v>#REF!</v>
      </c>
    </row>
    <row r="88" spans="1:72" s="93" customFormat="1" ht="15" customHeight="1" x14ac:dyDescent="0.25">
      <c r="A88" s="8">
        <v>43435</v>
      </c>
      <c r="B88" s="36">
        <v>2018</v>
      </c>
      <c r="C88" s="36" t="s">
        <v>1014</v>
      </c>
      <c r="D88" s="1" t="s">
        <v>1191</v>
      </c>
      <c r="E88" s="1" t="s">
        <v>1189</v>
      </c>
      <c r="F88" s="1" t="s">
        <v>192</v>
      </c>
      <c r="G88" s="38">
        <v>59105</v>
      </c>
      <c r="H88" s="39">
        <v>45.822589999999998</v>
      </c>
      <c r="I88" s="39">
        <v>-108.47787</v>
      </c>
      <c r="J88" s="1" t="s">
        <v>300</v>
      </c>
      <c r="K88" s="40">
        <v>0.04</v>
      </c>
      <c r="L88" s="36" t="s">
        <v>84</v>
      </c>
      <c r="M88" s="1" t="s">
        <v>1169</v>
      </c>
      <c r="N88" s="36" t="s">
        <v>1152</v>
      </c>
      <c r="O88" s="41">
        <v>101</v>
      </c>
      <c r="P88" s="41">
        <v>8</v>
      </c>
      <c r="Q88" s="42">
        <v>8045480</v>
      </c>
      <c r="R88" s="42">
        <v>8855984</v>
      </c>
      <c r="S88" s="42">
        <v>15000000</v>
      </c>
      <c r="T88" s="42">
        <v>7875200</v>
      </c>
      <c r="U88" s="53">
        <v>4.7500000000000001E-2</v>
      </c>
      <c r="V88" s="45">
        <v>35</v>
      </c>
      <c r="W88" s="8">
        <v>43811</v>
      </c>
      <c r="X88" s="8"/>
      <c r="Y88" s="8">
        <f t="shared" si="26"/>
        <v>43811</v>
      </c>
      <c r="Z88" s="46">
        <f t="shared" si="27"/>
        <v>48925</v>
      </c>
      <c r="AA88" s="4">
        <v>31</v>
      </c>
      <c r="AB88" s="46">
        <f t="shared" si="35"/>
        <v>60248</v>
      </c>
      <c r="AC88" s="1" t="s">
        <v>1848</v>
      </c>
      <c r="AD88" s="1" t="s">
        <v>791</v>
      </c>
      <c r="AE88" s="1" t="s">
        <v>1002</v>
      </c>
      <c r="AF88" s="1" t="s">
        <v>924</v>
      </c>
      <c r="AG88" s="1"/>
      <c r="AH88" s="36"/>
      <c r="AI88" s="47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56"/>
      <c r="AU88" s="36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92"/>
      <c r="BG88" s="92"/>
      <c r="BH88" s="92"/>
      <c r="BI88" s="92"/>
      <c r="BJ88" s="92"/>
      <c r="BK88" s="92"/>
      <c r="BL88" s="92"/>
      <c r="BM88" s="92"/>
      <c r="BN88" s="92"/>
      <c r="BR88" s="52">
        <v>19778632</v>
      </c>
      <c r="BS88" s="52" t="e">
        <f>VLOOKUP(M88,#REF!,2,TRUE)*(BR88/1000000)</f>
        <v>#REF!</v>
      </c>
      <c r="BT88" s="43" t="e">
        <f>VLOOKUP(M88,#REF!,3,TRUE)*(BR88/1000000)</f>
        <v>#REF!</v>
      </c>
    </row>
    <row r="89" spans="1:72" s="71" customFormat="1" ht="15" customHeight="1" x14ac:dyDescent="0.25">
      <c r="A89" s="7"/>
      <c r="B89" s="11">
        <v>2018</v>
      </c>
      <c r="C89" s="11" t="s">
        <v>1014</v>
      </c>
      <c r="D89" s="71" t="s">
        <v>1611</v>
      </c>
      <c r="E89" s="71" t="s">
        <v>1192</v>
      </c>
      <c r="F89" s="71" t="s">
        <v>899</v>
      </c>
      <c r="G89" s="12">
        <v>59722</v>
      </c>
      <c r="H89" s="39">
        <v>46.408931000000003</v>
      </c>
      <c r="I89" s="72">
        <v>-112.72872</v>
      </c>
      <c r="J89" s="71" t="s">
        <v>376</v>
      </c>
      <c r="K89" s="89">
        <v>0.09</v>
      </c>
      <c r="L89" s="11" t="s">
        <v>84</v>
      </c>
      <c r="M89" s="71" t="s">
        <v>1169</v>
      </c>
      <c r="N89" s="11" t="s">
        <v>45</v>
      </c>
      <c r="O89" s="76">
        <v>21</v>
      </c>
      <c r="P89" s="76">
        <v>6</v>
      </c>
      <c r="Q89" s="77">
        <f>3990000+348970</f>
        <v>4338970</v>
      </c>
      <c r="R89" s="77">
        <v>4212808</v>
      </c>
      <c r="S89" s="77"/>
      <c r="T89" s="77"/>
      <c r="U89" s="79"/>
      <c r="V89" s="80"/>
      <c r="W89" s="7">
        <v>44098</v>
      </c>
      <c r="X89" s="7"/>
      <c r="Y89" s="8">
        <f t="shared" si="26"/>
        <v>44098</v>
      </c>
      <c r="Z89" s="46">
        <f t="shared" si="27"/>
        <v>49211</v>
      </c>
      <c r="AA89" s="3">
        <v>31</v>
      </c>
      <c r="AB89" s="83">
        <f t="shared" si="35"/>
        <v>60534</v>
      </c>
      <c r="AH89" s="11"/>
      <c r="AI89" s="47"/>
      <c r="AT89" s="90"/>
      <c r="AU89" s="11"/>
      <c r="BF89" s="11"/>
      <c r="BG89" s="11"/>
      <c r="BH89" s="11"/>
      <c r="BI89" s="11"/>
      <c r="BJ89" s="11"/>
      <c r="BK89" s="11"/>
      <c r="BL89" s="11"/>
      <c r="BM89" s="11"/>
      <c r="BN89" s="11"/>
      <c r="BR89" s="52">
        <v>4872807</v>
      </c>
      <c r="BS89" s="52" t="e">
        <f>VLOOKUP(M89,#REF!,2,TRUE)*(BR89/1000000)</f>
        <v>#REF!</v>
      </c>
      <c r="BT89" s="43" t="e">
        <f>VLOOKUP(M89,#REF!,3,TRUE)*(BR89/1000000)</f>
        <v>#REF!</v>
      </c>
    </row>
    <row r="90" spans="1:72" s="71" customFormat="1" ht="15" customHeight="1" x14ac:dyDescent="0.25">
      <c r="A90" s="8">
        <v>43374</v>
      </c>
      <c r="B90" s="36">
        <v>2018</v>
      </c>
      <c r="C90" s="36" t="s">
        <v>1014</v>
      </c>
      <c r="D90" s="1" t="s">
        <v>1728</v>
      </c>
      <c r="E90" s="1" t="s">
        <v>1853</v>
      </c>
      <c r="F90" s="1" t="s">
        <v>60</v>
      </c>
      <c r="G90" s="38">
        <v>59701</v>
      </c>
      <c r="H90" s="39">
        <v>45.969140000000003</v>
      </c>
      <c r="I90" s="39">
        <v>-112.47703</v>
      </c>
      <c r="J90" s="1" t="s">
        <v>437</v>
      </c>
      <c r="K90" s="40">
        <v>0.04</v>
      </c>
      <c r="L90" s="36" t="s">
        <v>440</v>
      </c>
      <c r="M90" s="1" t="s">
        <v>1169</v>
      </c>
      <c r="N90" s="36" t="s">
        <v>45</v>
      </c>
      <c r="O90" s="41">
        <v>32</v>
      </c>
      <c r="P90" s="41">
        <v>4</v>
      </c>
      <c r="Q90" s="42">
        <v>1485560</v>
      </c>
      <c r="R90" s="42">
        <v>1485411</v>
      </c>
      <c r="S90" s="42">
        <v>3584712</v>
      </c>
      <c r="T90" s="42">
        <v>2833504</v>
      </c>
      <c r="U90" s="53">
        <v>4.2500000000000003E-2</v>
      </c>
      <c r="V90" s="45">
        <v>35</v>
      </c>
      <c r="W90" s="8">
        <v>43881</v>
      </c>
      <c r="X90" s="8"/>
      <c r="Y90" s="8">
        <f t="shared" si="26"/>
        <v>43881</v>
      </c>
      <c r="Z90" s="46">
        <f t="shared" si="27"/>
        <v>48995</v>
      </c>
      <c r="AA90" s="4">
        <v>31</v>
      </c>
      <c r="AB90" s="46">
        <f t="shared" si="35"/>
        <v>60318</v>
      </c>
      <c r="AC90" s="1" t="s">
        <v>1849</v>
      </c>
      <c r="AD90" s="1" t="s">
        <v>996</v>
      </c>
      <c r="AE90" s="1" t="s">
        <v>997</v>
      </c>
      <c r="AF90" s="1" t="s">
        <v>799</v>
      </c>
      <c r="AG90" s="1" t="s">
        <v>478</v>
      </c>
      <c r="AH90" s="36">
        <v>83702</v>
      </c>
      <c r="AI90" s="47" t="s">
        <v>1697</v>
      </c>
      <c r="AJ90" s="1" t="s">
        <v>1865</v>
      </c>
      <c r="AK90" s="1"/>
      <c r="AL90" s="1"/>
      <c r="AM90" s="1"/>
      <c r="AN90" s="1"/>
      <c r="AO90" s="1"/>
      <c r="AP90" s="1"/>
      <c r="AQ90" s="1"/>
      <c r="AR90" s="1"/>
      <c r="AS90" s="1"/>
      <c r="AT90" s="56">
        <v>219</v>
      </c>
      <c r="AU90" s="36">
        <v>32</v>
      </c>
      <c r="AV90" s="1"/>
      <c r="AW90" s="1"/>
      <c r="AX90" s="1"/>
      <c r="AY90" s="1">
        <v>16</v>
      </c>
      <c r="AZ90" s="1">
        <v>16</v>
      </c>
      <c r="BA90" s="1"/>
      <c r="BB90" s="1"/>
      <c r="BC90" s="1"/>
      <c r="BD90" s="1"/>
      <c r="BE90" s="1"/>
      <c r="BF90" s="11" t="s">
        <v>1756</v>
      </c>
      <c r="BG90" s="11"/>
      <c r="BH90" s="11"/>
      <c r="BI90" s="11"/>
      <c r="BJ90" s="11">
        <v>6</v>
      </c>
      <c r="BK90" s="11">
        <v>26</v>
      </c>
      <c r="BL90" s="11"/>
      <c r="BM90" s="11"/>
      <c r="BN90" s="11"/>
      <c r="BR90" s="52">
        <v>5280548</v>
      </c>
      <c r="BS90" s="52" t="e">
        <f>VLOOKUP(M90,#REF!,2,TRUE)*(BR90/1000000)</f>
        <v>#REF!</v>
      </c>
      <c r="BT90" s="43" t="e">
        <f>VLOOKUP(M90,#REF!,3,TRUE)*(BR90/1000000)</f>
        <v>#REF!</v>
      </c>
    </row>
    <row r="91" spans="1:72" s="93" customFormat="1" x14ac:dyDescent="0.25">
      <c r="A91" s="8">
        <v>43059</v>
      </c>
      <c r="B91" s="36">
        <v>2018</v>
      </c>
      <c r="C91" s="36" t="s">
        <v>1014</v>
      </c>
      <c r="D91" s="1" t="s">
        <v>988</v>
      </c>
      <c r="E91" s="1" t="s">
        <v>992</v>
      </c>
      <c r="F91" s="1" t="s">
        <v>47</v>
      </c>
      <c r="G91" s="38">
        <v>55317</v>
      </c>
      <c r="H91" s="39">
        <v>47.059778999999999</v>
      </c>
      <c r="I91" s="39">
        <v>-109.424194</v>
      </c>
      <c r="J91" s="1" t="s">
        <v>207</v>
      </c>
      <c r="K91" s="40">
        <v>0.09</v>
      </c>
      <c r="L91" s="36" t="s">
        <v>440</v>
      </c>
      <c r="M91" s="1" t="s">
        <v>302</v>
      </c>
      <c r="N91" s="36" t="s">
        <v>1152</v>
      </c>
      <c r="O91" s="41">
        <v>35</v>
      </c>
      <c r="P91" s="41">
        <v>9</v>
      </c>
      <c r="Q91" s="42">
        <v>3200000</v>
      </c>
      <c r="R91" s="42">
        <v>2814437</v>
      </c>
      <c r="S91" s="42"/>
      <c r="T91" s="42"/>
      <c r="U91" s="53"/>
      <c r="V91" s="45"/>
      <c r="W91" s="8">
        <v>43466</v>
      </c>
      <c r="X91" s="8"/>
      <c r="Y91" s="8">
        <f t="shared" si="26"/>
        <v>43466</v>
      </c>
      <c r="Z91" s="46">
        <f t="shared" si="27"/>
        <v>48580</v>
      </c>
      <c r="AA91" s="4">
        <v>31</v>
      </c>
      <c r="AB91" s="46">
        <f t="shared" si="35"/>
        <v>59902</v>
      </c>
      <c r="AC91" s="1" t="s">
        <v>1004</v>
      </c>
      <c r="AD91" s="1" t="s">
        <v>1005</v>
      </c>
      <c r="AE91" s="1" t="s">
        <v>1006</v>
      </c>
      <c r="AF91" s="1" t="s">
        <v>1007</v>
      </c>
      <c r="AG91" s="1"/>
      <c r="AH91" s="36"/>
      <c r="AI91" s="47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56"/>
      <c r="AU91" s="36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92"/>
      <c r="BG91" s="92"/>
      <c r="BH91" s="92"/>
      <c r="BI91" s="92"/>
      <c r="BJ91" s="92"/>
      <c r="BK91" s="92"/>
      <c r="BL91" s="92"/>
      <c r="BM91" s="92"/>
      <c r="BN91" s="92"/>
      <c r="BR91" s="52">
        <v>4225371</v>
      </c>
      <c r="BS91" s="52" t="e">
        <f>VLOOKUP(M91,#REF!,2,TRUE)*(BR91/1000000)</f>
        <v>#REF!</v>
      </c>
      <c r="BT91" s="43" t="e">
        <f>VLOOKUP(M91,#REF!,3,TRUE)*(BR91/1000000)</f>
        <v>#REF!</v>
      </c>
    </row>
    <row r="92" spans="1:72" s="93" customFormat="1" ht="15" customHeight="1" x14ac:dyDescent="0.25">
      <c r="A92" s="8">
        <v>43059</v>
      </c>
      <c r="B92" s="36">
        <v>2018</v>
      </c>
      <c r="C92" s="36" t="s">
        <v>1014</v>
      </c>
      <c r="D92" s="1" t="s">
        <v>1190</v>
      </c>
      <c r="E92" s="1" t="s">
        <v>1189</v>
      </c>
      <c r="F92" s="1" t="s">
        <v>192</v>
      </c>
      <c r="G92" s="38">
        <v>59105</v>
      </c>
      <c r="H92" s="39">
        <v>45.823442999999997</v>
      </c>
      <c r="I92" s="39">
        <v>-108.479421</v>
      </c>
      <c r="J92" s="1" t="s">
        <v>300</v>
      </c>
      <c r="K92" s="40">
        <v>0.09</v>
      </c>
      <c r="L92" s="36" t="s">
        <v>84</v>
      </c>
      <c r="M92" s="1" t="s">
        <v>1169</v>
      </c>
      <c r="N92" s="36" t="s">
        <v>1152</v>
      </c>
      <c r="O92" s="41">
        <v>40</v>
      </c>
      <c r="P92" s="41">
        <v>3</v>
      </c>
      <c r="Q92" s="42">
        <v>6775000</v>
      </c>
      <c r="R92" s="42">
        <v>5215707</v>
      </c>
      <c r="S92" s="42"/>
      <c r="T92" s="42"/>
      <c r="U92" s="53"/>
      <c r="V92" s="45"/>
      <c r="W92" s="8">
        <v>43811</v>
      </c>
      <c r="X92" s="8"/>
      <c r="Y92" s="8">
        <f t="shared" si="26"/>
        <v>43811</v>
      </c>
      <c r="Z92" s="46">
        <f t="shared" si="27"/>
        <v>48925</v>
      </c>
      <c r="AA92" s="4">
        <v>31</v>
      </c>
      <c r="AB92" s="46">
        <f t="shared" si="35"/>
        <v>60248</v>
      </c>
      <c r="AC92" s="1" t="s">
        <v>1001</v>
      </c>
      <c r="AD92" s="1" t="s">
        <v>791</v>
      </c>
      <c r="AE92" s="1" t="s">
        <v>1002</v>
      </c>
      <c r="AF92" s="1" t="s">
        <v>924</v>
      </c>
      <c r="AG92" s="1"/>
      <c r="AH92" s="36"/>
      <c r="AI92" s="47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56"/>
      <c r="AU92" s="36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92"/>
      <c r="BG92" s="92"/>
      <c r="BH92" s="92"/>
      <c r="BI92" s="92"/>
      <c r="BJ92" s="92"/>
      <c r="BK92" s="92"/>
      <c r="BL92" s="92"/>
      <c r="BM92" s="92"/>
      <c r="BN92" s="92"/>
      <c r="BR92" s="52">
        <v>6938233</v>
      </c>
      <c r="BS92" s="52" t="e">
        <f>VLOOKUP(M92,#REF!,2,TRUE)*(BR92/1000000)</f>
        <v>#REF!</v>
      </c>
      <c r="BT92" s="43" t="e">
        <f>VLOOKUP(M92,#REF!,3,TRUE)*(BR92/1000000)</f>
        <v>#REF!</v>
      </c>
    </row>
    <row r="93" spans="1:72" s="93" customFormat="1" ht="15" customHeight="1" x14ac:dyDescent="0.25">
      <c r="A93" s="8">
        <v>43059</v>
      </c>
      <c r="B93" s="36">
        <v>2018</v>
      </c>
      <c r="C93" s="36" t="s">
        <v>1014</v>
      </c>
      <c r="D93" s="1" t="s">
        <v>987</v>
      </c>
      <c r="E93" s="1" t="s">
        <v>991</v>
      </c>
      <c r="F93" s="1" t="s">
        <v>46</v>
      </c>
      <c r="G93" s="38">
        <v>59904</v>
      </c>
      <c r="H93" s="39">
        <v>48.180807000000001</v>
      </c>
      <c r="I93" s="39">
        <v>-114.309713</v>
      </c>
      <c r="J93" s="1" t="s">
        <v>343</v>
      </c>
      <c r="K93" s="40">
        <v>0.09</v>
      </c>
      <c r="L93" s="36" t="s">
        <v>440</v>
      </c>
      <c r="M93" s="1" t="s">
        <v>307</v>
      </c>
      <c r="N93" s="36" t="s">
        <v>45</v>
      </c>
      <c r="O93" s="41">
        <v>32</v>
      </c>
      <c r="P93" s="41">
        <v>4</v>
      </c>
      <c r="Q93" s="42">
        <v>4490000</v>
      </c>
      <c r="R93" s="42">
        <v>3950805</v>
      </c>
      <c r="S93" s="42"/>
      <c r="T93" s="42"/>
      <c r="U93" s="53"/>
      <c r="V93" s="45"/>
      <c r="W93" s="8">
        <v>43300</v>
      </c>
      <c r="X93" s="8"/>
      <c r="Y93" s="8">
        <f t="shared" si="26"/>
        <v>43300</v>
      </c>
      <c r="Z93" s="46">
        <f t="shared" si="27"/>
        <v>48414</v>
      </c>
      <c r="AA93" s="4">
        <v>31</v>
      </c>
      <c r="AB93" s="46">
        <f t="shared" si="35"/>
        <v>59736</v>
      </c>
      <c r="AC93" s="1" t="s">
        <v>998</v>
      </c>
      <c r="AD93" s="1" t="s">
        <v>1003</v>
      </c>
      <c r="AE93" s="1" t="s">
        <v>999</v>
      </c>
      <c r="AF93" s="1" t="s">
        <v>1000</v>
      </c>
      <c r="AG93" s="1"/>
      <c r="AH93" s="36"/>
      <c r="AI93" s="47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56"/>
      <c r="AU93" s="36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92"/>
      <c r="BG93" s="92"/>
      <c r="BH93" s="92"/>
      <c r="BI93" s="92"/>
      <c r="BJ93" s="92"/>
      <c r="BK93" s="92"/>
      <c r="BL93" s="92"/>
      <c r="BM93" s="92"/>
      <c r="BN93" s="92"/>
      <c r="BR93" s="52">
        <v>4892963</v>
      </c>
      <c r="BS93" s="52" t="e">
        <f>VLOOKUP(M93,#REF!,2,TRUE)*(BR93/1000000)</f>
        <v>#REF!</v>
      </c>
      <c r="BT93" s="43" t="e">
        <f>VLOOKUP(M93,#REF!,3,TRUE)*(BR93/1000000)</f>
        <v>#REF!</v>
      </c>
    </row>
    <row r="94" spans="1:72" s="93" customFormat="1" ht="15" customHeight="1" x14ac:dyDescent="0.25">
      <c r="A94" s="8">
        <v>43059</v>
      </c>
      <c r="B94" s="36">
        <v>2018</v>
      </c>
      <c r="C94" s="36" t="s">
        <v>1014</v>
      </c>
      <c r="D94" s="1" t="s">
        <v>1600</v>
      </c>
      <c r="E94" s="1" t="s">
        <v>1864</v>
      </c>
      <c r="F94" s="1" t="s">
        <v>60</v>
      </c>
      <c r="G94" s="38">
        <v>59701</v>
      </c>
      <c r="H94" s="39">
        <v>45.970108000000003</v>
      </c>
      <c r="I94" s="39">
        <v>-112.476641</v>
      </c>
      <c r="J94" s="1" t="s">
        <v>437</v>
      </c>
      <c r="K94" s="40">
        <v>0.09</v>
      </c>
      <c r="L94" s="36" t="s">
        <v>440</v>
      </c>
      <c r="M94" s="1" t="s">
        <v>1169</v>
      </c>
      <c r="N94" s="36" t="s">
        <v>45</v>
      </c>
      <c r="O94" s="41">
        <v>32</v>
      </c>
      <c r="P94" s="41">
        <v>5</v>
      </c>
      <c r="Q94" s="42">
        <f>5239540+472820</f>
        <v>5712360</v>
      </c>
      <c r="R94" s="42">
        <v>5083027</v>
      </c>
      <c r="S94" s="42"/>
      <c r="T94" s="42"/>
      <c r="U94" s="53"/>
      <c r="V94" s="45"/>
      <c r="W94" s="8">
        <v>43956</v>
      </c>
      <c r="X94" s="8"/>
      <c r="Y94" s="8">
        <f t="shared" si="26"/>
        <v>43956</v>
      </c>
      <c r="Z94" s="46">
        <f t="shared" si="27"/>
        <v>49069</v>
      </c>
      <c r="AA94" s="4">
        <v>31</v>
      </c>
      <c r="AB94" s="46">
        <f t="shared" si="35"/>
        <v>60392</v>
      </c>
      <c r="AC94" s="1" t="s">
        <v>995</v>
      </c>
      <c r="AD94" s="1" t="s">
        <v>996</v>
      </c>
      <c r="AE94" s="1" t="s">
        <v>997</v>
      </c>
      <c r="AF94" s="1" t="s">
        <v>799</v>
      </c>
      <c r="AG94" s="1" t="s">
        <v>478</v>
      </c>
      <c r="AH94" s="36">
        <v>83702</v>
      </c>
      <c r="AI94" s="47" t="s">
        <v>1697</v>
      </c>
      <c r="AJ94" s="1" t="s">
        <v>1865</v>
      </c>
      <c r="AK94" s="1"/>
      <c r="AL94" s="1"/>
      <c r="AM94" s="1"/>
      <c r="AN94" s="1"/>
      <c r="AO94" s="1"/>
      <c r="AP94" s="1"/>
      <c r="AQ94" s="1"/>
      <c r="AR94" s="1"/>
      <c r="AS94" s="1"/>
      <c r="AT94" s="56">
        <v>219</v>
      </c>
      <c r="AU94" s="36">
        <v>32</v>
      </c>
      <c r="AV94" s="1"/>
      <c r="AW94" s="1"/>
      <c r="AX94" s="1"/>
      <c r="AY94" s="1">
        <v>16</v>
      </c>
      <c r="AZ94" s="1">
        <v>16</v>
      </c>
      <c r="BA94" s="1"/>
      <c r="BB94" s="1"/>
      <c r="BC94" s="1"/>
      <c r="BD94" s="1"/>
      <c r="BE94" s="1"/>
      <c r="BF94" s="92" t="s">
        <v>1756</v>
      </c>
      <c r="BG94" s="92"/>
      <c r="BH94" s="92"/>
      <c r="BI94" s="92">
        <v>6</v>
      </c>
      <c r="BJ94" s="92">
        <v>20</v>
      </c>
      <c r="BK94" s="92">
        <v>6</v>
      </c>
      <c r="BL94" s="92"/>
      <c r="BM94" s="92"/>
      <c r="BN94" s="92"/>
      <c r="BR94" s="52">
        <v>7410996</v>
      </c>
      <c r="BS94" s="52" t="e">
        <f>VLOOKUP(M94,#REF!,2,TRUE)*(BR94/1000000)</f>
        <v>#REF!</v>
      </c>
      <c r="BT94" s="43" t="e">
        <f>VLOOKUP(M94,#REF!,3,TRUE)*(BR94/1000000)</f>
        <v>#REF!</v>
      </c>
    </row>
    <row r="95" spans="1:72" s="71" customFormat="1" ht="13.5" customHeight="1" x14ac:dyDescent="0.25">
      <c r="A95" s="7">
        <v>43059</v>
      </c>
      <c r="B95" s="11">
        <v>2018</v>
      </c>
      <c r="C95" s="11" t="s">
        <v>1014</v>
      </c>
      <c r="D95" s="71" t="s">
        <v>2074</v>
      </c>
      <c r="E95" s="71" t="s">
        <v>1449</v>
      </c>
      <c r="F95" s="71" t="s">
        <v>989</v>
      </c>
      <c r="G95" s="12">
        <v>59047</v>
      </c>
      <c r="H95" s="39">
        <v>48.187339000000001</v>
      </c>
      <c r="I95" s="39">
        <v>-114.301374</v>
      </c>
      <c r="J95" s="71" t="s">
        <v>412</v>
      </c>
      <c r="K95" s="89">
        <v>0.09</v>
      </c>
      <c r="L95" s="11" t="s">
        <v>440</v>
      </c>
      <c r="M95" s="71" t="s">
        <v>307</v>
      </c>
      <c r="N95" s="11" t="s">
        <v>45</v>
      </c>
      <c r="O95" s="76">
        <v>37</v>
      </c>
      <c r="P95" s="76">
        <v>2</v>
      </c>
      <c r="Q95" s="77">
        <v>5874690</v>
      </c>
      <c r="R95" s="77">
        <v>5404714</v>
      </c>
      <c r="S95" s="77"/>
      <c r="T95" s="77"/>
      <c r="U95" s="79"/>
      <c r="V95" s="80"/>
      <c r="W95" s="7">
        <v>44074</v>
      </c>
      <c r="X95" s="7">
        <v>43831</v>
      </c>
      <c r="Y95" s="8">
        <f t="shared" si="26"/>
        <v>44074</v>
      </c>
      <c r="Z95" s="46">
        <f t="shared" si="27"/>
        <v>49187</v>
      </c>
      <c r="AA95" s="3">
        <v>31</v>
      </c>
      <c r="AB95" s="46">
        <f t="shared" si="35"/>
        <v>60510</v>
      </c>
      <c r="AC95" s="71" t="s">
        <v>993</v>
      </c>
      <c r="AD95" s="71" t="s">
        <v>505</v>
      </c>
      <c r="AE95" s="71" t="s">
        <v>994</v>
      </c>
      <c r="AF95" s="71" t="s">
        <v>957</v>
      </c>
      <c r="AH95" s="11"/>
      <c r="AI95" s="47"/>
      <c r="AT95" s="90"/>
      <c r="AU95" s="11"/>
      <c r="BF95" s="11"/>
      <c r="BG95" s="11"/>
      <c r="BH95" s="11"/>
      <c r="BI95" s="11"/>
      <c r="BJ95" s="11"/>
      <c r="BK95" s="11"/>
      <c r="BL95" s="11"/>
      <c r="BM95" s="11"/>
      <c r="BN95" s="11"/>
      <c r="BR95" s="52">
        <v>8593552</v>
      </c>
      <c r="BS95" s="52" t="e">
        <f>VLOOKUP(M95,#REF!,2,TRUE)*(BR95/1000000)</f>
        <v>#REF!</v>
      </c>
      <c r="BT95" s="43" t="e">
        <f>VLOOKUP(M95,#REF!,3,TRUE)*(BR95/1000000)</f>
        <v>#REF!</v>
      </c>
    </row>
    <row r="96" spans="1:72" s="93" customFormat="1" ht="15" customHeight="1" x14ac:dyDescent="0.25">
      <c r="A96" s="8">
        <v>42388</v>
      </c>
      <c r="B96" s="36">
        <v>2018</v>
      </c>
      <c r="C96" s="36" t="s">
        <v>1014</v>
      </c>
      <c r="D96" s="1" t="s">
        <v>1599</v>
      </c>
      <c r="E96" s="1" t="s">
        <v>908</v>
      </c>
      <c r="F96" s="1" t="s">
        <v>1133</v>
      </c>
      <c r="G96" s="38">
        <v>59636</v>
      </c>
      <c r="H96" s="39">
        <v>46.618734000000003</v>
      </c>
      <c r="I96" s="39">
        <v>-112.10198</v>
      </c>
      <c r="J96" s="37" t="s">
        <v>913</v>
      </c>
      <c r="K96" s="40">
        <v>0.09</v>
      </c>
      <c r="L96" s="36" t="s">
        <v>84</v>
      </c>
      <c r="M96" s="1" t="s">
        <v>307</v>
      </c>
      <c r="N96" s="36" t="s">
        <v>45</v>
      </c>
      <c r="O96" s="41">
        <v>42</v>
      </c>
      <c r="P96" s="41">
        <v>12</v>
      </c>
      <c r="Q96" s="42">
        <v>6704660</v>
      </c>
      <c r="R96" s="42">
        <v>5832471</v>
      </c>
      <c r="S96" s="42"/>
      <c r="T96" s="42"/>
      <c r="U96" s="53"/>
      <c r="V96" s="45"/>
      <c r="W96" s="8">
        <v>43552</v>
      </c>
      <c r="X96" s="8"/>
      <c r="Y96" s="8">
        <f t="shared" si="26"/>
        <v>43552</v>
      </c>
      <c r="Z96" s="46">
        <f t="shared" si="27"/>
        <v>48666</v>
      </c>
      <c r="AA96" s="4">
        <v>35</v>
      </c>
      <c r="AB96" s="46">
        <f t="shared" si="35"/>
        <v>61450</v>
      </c>
      <c r="AC96" s="1" t="s">
        <v>968</v>
      </c>
      <c r="AD96" s="1" t="s">
        <v>969</v>
      </c>
      <c r="AE96" s="1" t="s">
        <v>970</v>
      </c>
      <c r="AF96" s="1" t="s">
        <v>971</v>
      </c>
      <c r="AG96" s="1"/>
      <c r="AH96" s="36"/>
      <c r="AI96" s="47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56"/>
      <c r="AU96" s="36">
        <v>42</v>
      </c>
      <c r="AV96" s="1"/>
      <c r="AW96" s="1">
        <v>1</v>
      </c>
      <c r="AX96" s="1">
        <v>22</v>
      </c>
      <c r="AY96" s="1">
        <v>13</v>
      </c>
      <c r="AZ96" s="1">
        <v>4</v>
      </c>
      <c r="BA96" s="1">
        <v>2</v>
      </c>
      <c r="BB96" s="1"/>
      <c r="BC96" s="1"/>
      <c r="BD96" s="1"/>
      <c r="BE96" s="1"/>
      <c r="BF96" s="92"/>
      <c r="BG96" s="92"/>
      <c r="BH96" s="92"/>
      <c r="BI96" s="92"/>
      <c r="BJ96" s="92"/>
      <c r="BK96" s="92"/>
      <c r="BL96" s="92"/>
      <c r="BM96" s="92"/>
      <c r="BN96" s="92"/>
      <c r="BR96" s="52">
        <v>12406829</v>
      </c>
      <c r="BS96" s="52" t="e">
        <f>VLOOKUP(M96,#REF!,2,TRUE)*(BR96/1000000)</f>
        <v>#REF!</v>
      </c>
      <c r="BT96" s="43" t="e">
        <f>VLOOKUP(M96,#REF!,3,TRUE)*(BR96/1000000)</f>
        <v>#REF!</v>
      </c>
    </row>
    <row r="97" spans="1:72" s="93" customFormat="1" ht="15" customHeight="1" x14ac:dyDescent="0.25">
      <c r="A97" s="8">
        <v>43033</v>
      </c>
      <c r="B97" s="36">
        <v>2017</v>
      </c>
      <c r="C97" s="36" t="s">
        <v>1014</v>
      </c>
      <c r="D97" s="1" t="s">
        <v>1730</v>
      </c>
      <c r="E97" s="1" t="s">
        <v>1448</v>
      </c>
      <c r="F97" s="1" t="s">
        <v>46</v>
      </c>
      <c r="G97" s="38">
        <v>59901</v>
      </c>
      <c r="H97" s="39">
        <v>48.196959999999997</v>
      </c>
      <c r="I97" s="39">
        <v>-114.31666</v>
      </c>
      <c r="J97" s="1" t="s">
        <v>343</v>
      </c>
      <c r="K97" s="40">
        <v>0.04</v>
      </c>
      <c r="L97" s="36" t="s">
        <v>918</v>
      </c>
      <c r="M97" s="1" t="s">
        <v>307</v>
      </c>
      <c r="N97" s="36" t="s">
        <v>1152</v>
      </c>
      <c r="O97" s="41">
        <v>60</v>
      </c>
      <c r="P97" s="41">
        <v>1</v>
      </c>
      <c r="Q97" s="42">
        <v>2443870</v>
      </c>
      <c r="R97" s="42">
        <v>2394758</v>
      </c>
      <c r="S97" s="42">
        <v>4500000</v>
      </c>
      <c r="T97" s="42">
        <v>3966844</v>
      </c>
      <c r="U97" s="53">
        <v>3.85E-2</v>
      </c>
      <c r="V97" s="45">
        <v>30</v>
      </c>
      <c r="W97" s="8">
        <v>43030</v>
      </c>
      <c r="X97" s="8"/>
      <c r="Y97" s="8">
        <f t="shared" si="26"/>
        <v>43030</v>
      </c>
      <c r="Z97" s="46">
        <f t="shared" si="27"/>
        <v>48143</v>
      </c>
      <c r="AA97" s="4">
        <v>31</v>
      </c>
      <c r="AB97" s="46">
        <f t="shared" si="35"/>
        <v>59466</v>
      </c>
      <c r="AC97" s="1" t="s">
        <v>1889</v>
      </c>
      <c r="AD97" s="1" t="s">
        <v>1847</v>
      </c>
      <c r="AE97" s="1"/>
      <c r="AF97" s="1"/>
      <c r="AG97" s="1"/>
      <c r="AH97" s="36"/>
      <c r="AI97" s="47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56"/>
      <c r="AU97" s="36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92"/>
      <c r="BG97" s="92"/>
      <c r="BH97" s="92"/>
      <c r="BI97" s="92"/>
      <c r="BJ97" s="92"/>
      <c r="BK97" s="92"/>
      <c r="BL97" s="92"/>
      <c r="BM97" s="92"/>
      <c r="BN97" s="92"/>
      <c r="BR97" s="52">
        <v>7380051</v>
      </c>
      <c r="BS97" s="52" t="e">
        <f>VLOOKUP(M97,#REF!,2,TRUE)*(BR97/1000000)</f>
        <v>#REF!</v>
      </c>
      <c r="BT97" s="43" t="e">
        <f>VLOOKUP(M97,#REF!,3,TRUE)*(BR97/1000000)</f>
        <v>#REF!</v>
      </c>
    </row>
    <row r="98" spans="1:72" s="93" customFormat="1" ht="15" customHeight="1" x14ac:dyDescent="0.25">
      <c r="A98" s="8">
        <v>42751</v>
      </c>
      <c r="B98" s="36">
        <v>2017</v>
      </c>
      <c r="C98" s="36" t="s">
        <v>1014</v>
      </c>
      <c r="D98" s="1" t="s">
        <v>1729</v>
      </c>
      <c r="E98" s="1" t="s">
        <v>1447</v>
      </c>
      <c r="F98" s="1" t="s">
        <v>65</v>
      </c>
      <c r="G98" s="38">
        <v>59401</v>
      </c>
      <c r="H98" s="39">
        <v>47.480629999999998</v>
      </c>
      <c r="I98" s="39">
        <v>-111.26969</v>
      </c>
      <c r="J98" s="1" t="s">
        <v>921</v>
      </c>
      <c r="K98" s="40">
        <v>0.04</v>
      </c>
      <c r="L98" s="36" t="s">
        <v>918</v>
      </c>
      <c r="M98" s="1" t="s">
        <v>1169</v>
      </c>
      <c r="N98" s="36" t="s">
        <v>45</v>
      </c>
      <c r="O98" s="41">
        <v>92</v>
      </c>
      <c r="P98" s="41">
        <v>4</v>
      </c>
      <c r="Q98" s="42">
        <v>7863410</v>
      </c>
      <c r="R98" s="42">
        <v>7639363</v>
      </c>
      <c r="S98" s="42">
        <v>15000000</v>
      </c>
      <c r="T98" s="42">
        <v>7896451</v>
      </c>
      <c r="U98" s="53">
        <v>4.4999999999999998E-2</v>
      </c>
      <c r="V98" s="45">
        <v>35</v>
      </c>
      <c r="W98" s="8">
        <v>43938</v>
      </c>
      <c r="X98" s="8">
        <v>43831</v>
      </c>
      <c r="Y98" s="8">
        <f t="shared" si="26"/>
        <v>43938</v>
      </c>
      <c r="Z98" s="46">
        <f t="shared" si="27"/>
        <v>49051</v>
      </c>
      <c r="AA98" s="4">
        <v>31</v>
      </c>
      <c r="AB98" s="46">
        <f t="shared" si="35"/>
        <v>60374</v>
      </c>
      <c r="AC98" s="1" t="s">
        <v>1846</v>
      </c>
      <c r="AD98" s="1"/>
      <c r="AE98" s="1"/>
      <c r="AF98" s="1"/>
      <c r="AG98" s="1"/>
      <c r="AH98" s="36"/>
      <c r="AI98" s="47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56"/>
      <c r="AU98" s="36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92"/>
      <c r="BG98" s="92"/>
      <c r="BH98" s="92"/>
      <c r="BI98" s="92"/>
      <c r="BJ98" s="92"/>
      <c r="BK98" s="92"/>
      <c r="BL98" s="92"/>
      <c r="BM98" s="92"/>
      <c r="BN98" s="92"/>
      <c r="BR98" s="52">
        <v>17924755</v>
      </c>
      <c r="BS98" s="52" t="e">
        <f>VLOOKUP(M98,#REF!,2,TRUE)*(BR98/1000000)</f>
        <v>#REF!</v>
      </c>
      <c r="BT98" s="43" t="e">
        <f>VLOOKUP(M98,#REF!,3,TRUE)*(BR98/1000000)</f>
        <v>#REF!</v>
      </c>
    </row>
    <row r="99" spans="1:72" s="93" customFormat="1" ht="15" customHeight="1" x14ac:dyDescent="0.25">
      <c r="A99" s="8">
        <v>42758</v>
      </c>
      <c r="B99" s="36">
        <v>2017</v>
      </c>
      <c r="C99" s="36" t="s">
        <v>1014</v>
      </c>
      <c r="D99" s="1" t="s">
        <v>1683</v>
      </c>
      <c r="E99" s="1" t="s">
        <v>1447</v>
      </c>
      <c r="F99" s="1" t="s">
        <v>65</v>
      </c>
      <c r="G99" s="38">
        <v>59401</v>
      </c>
      <c r="H99" s="39">
        <v>47.480629999999998</v>
      </c>
      <c r="I99" s="39">
        <v>-111.26969</v>
      </c>
      <c r="J99" s="1" t="s">
        <v>921</v>
      </c>
      <c r="K99" s="40">
        <v>0.09</v>
      </c>
      <c r="L99" s="36" t="s">
        <v>918</v>
      </c>
      <c r="M99" s="1" t="s">
        <v>1169</v>
      </c>
      <c r="N99" s="36" t="s">
        <v>45</v>
      </c>
      <c r="O99" s="41">
        <v>32</v>
      </c>
      <c r="P99" s="41">
        <v>3</v>
      </c>
      <c r="Q99" s="42">
        <v>6775000</v>
      </c>
      <c r="R99" s="42">
        <v>5536092</v>
      </c>
      <c r="S99" s="42"/>
      <c r="T99" s="42"/>
      <c r="U99" s="53"/>
      <c r="V99" s="45"/>
      <c r="W99" s="8">
        <v>43830</v>
      </c>
      <c r="X99" s="8">
        <v>43831</v>
      </c>
      <c r="Y99" s="8">
        <f t="shared" si="26"/>
        <v>43831</v>
      </c>
      <c r="Z99" s="46">
        <f t="shared" si="27"/>
        <v>48945</v>
      </c>
      <c r="AA99" s="4">
        <v>31</v>
      </c>
      <c r="AB99" s="46">
        <f t="shared" si="35"/>
        <v>60268</v>
      </c>
      <c r="AC99" s="1" t="s">
        <v>1887</v>
      </c>
      <c r="AD99" s="1" t="s">
        <v>985</v>
      </c>
      <c r="AE99" s="1" t="s">
        <v>923</v>
      </c>
      <c r="AF99" s="1" t="s">
        <v>924</v>
      </c>
      <c r="AG99" s="1"/>
      <c r="AH99" s="36"/>
      <c r="AI99" s="47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56"/>
      <c r="AU99" s="36">
        <v>124</v>
      </c>
      <c r="AV99" s="1"/>
      <c r="AW99" s="1"/>
      <c r="AX99" s="1">
        <v>60</v>
      </c>
      <c r="AY99" s="1">
        <v>38</v>
      </c>
      <c r="AZ99" s="1">
        <v>26</v>
      </c>
      <c r="BA99" s="1"/>
      <c r="BB99" s="1"/>
      <c r="BC99" s="1"/>
      <c r="BD99" s="1"/>
      <c r="BE99" s="1"/>
      <c r="BF99" s="92"/>
      <c r="BG99" s="92"/>
      <c r="BH99" s="92"/>
      <c r="BI99" s="92"/>
      <c r="BJ99" s="92"/>
      <c r="BK99" s="92"/>
      <c r="BL99" s="92"/>
      <c r="BM99" s="92"/>
      <c r="BN99" s="92"/>
      <c r="BR99" s="52">
        <v>7061263</v>
      </c>
      <c r="BS99" s="52" t="e">
        <f>VLOOKUP(M99,#REF!,2,TRUE)*(BR99/1000000)</f>
        <v>#REF!</v>
      </c>
      <c r="BT99" s="43" t="e">
        <f>VLOOKUP(M99,#REF!,3,TRUE)*(BR99/1000000)</f>
        <v>#REF!</v>
      </c>
    </row>
    <row r="100" spans="1:72" ht="15" customHeight="1" x14ac:dyDescent="0.25">
      <c r="A100" s="8">
        <v>42758</v>
      </c>
      <c r="B100" s="36">
        <v>2017</v>
      </c>
      <c r="C100" s="36" t="s">
        <v>1014</v>
      </c>
      <c r="D100" s="1" t="s">
        <v>1748</v>
      </c>
      <c r="E100" s="1" t="s">
        <v>1166</v>
      </c>
      <c r="F100" s="1" t="s">
        <v>133</v>
      </c>
      <c r="G100" s="38">
        <v>59417</v>
      </c>
      <c r="H100" s="39">
        <v>48.536234999999998</v>
      </c>
      <c r="I100" s="39">
        <v>-113.012406</v>
      </c>
      <c r="J100" s="1" t="s">
        <v>361</v>
      </c>
      <c r="K100" s="40">
        <v>0.09</v>
      </c>
      <c r="L100" s="36" t="s">
        <v>454</v>
      </c>
      <c r="M100" s="1" t="s">
        <v>1169</v>
      </c>
      <c r="N100" s="36" t="s">
        <v>45</v>
      </c>
      <c r="O100" s="41">
        <v>30</v>
      </c>
      <c r="P100" s="41">
        <v>30</v>
      </c>
      <c r="Q100" s="42">
        <v>6775000</v>
      </c>
      <c r="R100" s="42">
        <v>5727690</v>
      </c>
      <c r="S100" s="42"/>
      <c r="T100" s="42"/>
      <c r="W100" s="8">
        <v>43497</v>
      </c>
      <c r="Y100" s="8">
        <f t="shared" si="26"/>
        <v>43497</v>
      </c>
      <c r="Z100" s="46">
        <f t="shared" si="27"/>
        <v>48611</v>
      </c>
      <c r="AA100" s="4">
        <v>31</v>
      </c>
      <c r="AB100" s="46">
        <f t="shared" si="35"/>
        <v>59933</v>
      </c>
      <c r="AC100" s="1" t="s">
        <v>925</v>
      </c>
      <c r="AD100" s="1" t="s">
        <v>984</v>
      </c>
      <c r="AE100" s="1" t="s">
        <v>926</v>
      </c>
      <c r="AF100" s="1" t="s">
        <v>927</v>
      </c>
      <c r="AI100" s="47"/>
      <c r="AU100" s="36">
        <v>30</v>
      </c>
      <c r="AZ100" s="1">
        <v>20</v>
      </c>
      <c r="BA100" s="1">
        <v>10</v>
      </c>
      <c r="BR100" s="52">
        <v>6895539</v>
      </c>
      <c r="BS100" s="52" t="e">
        <f>VLOOKUP(M100,#REF!,2,TRUE)*(BR100/1000000)</f>
        <v>#REF!</v>
      </c>
      <c r="BT100" s="43" t="e">
        <f>VLOOKUP(M100,#REF!,3,TRUE)*(BR100/1000000)</f>
        <v>#REF!</v>
      </c>
    </row>
    <row r="101" spans="1:72" ht="15" customHeight="1" x14ac:dyDescent="0.25">
      <c r="A101" s="8">
        <v>42758</v>
      </c>
      <c r="B101" s="36">
        <v>2017</v>
      </c>
      <c r="C101" s="36" t="s">
        <v>1014</v>
      </c>
      <c r="D101" s="1" t="s">
        <v>917</v>
      </c>
      <c r="E101" s="1" t="s">
        <v>1013</v>
      </c>
      <c r="F101" s="1" t="s">
        <v>920</v>
      </c>
      <c r="G101" s="38">
        <v>59860</v>
      </c>
      <c r="H101" s="39">
        <v>47.684306999999997</v>
      </c>
      <c r="I101" s="39">
        <v>-114.13052399999999</v>
      </c>
      <c r="J101" s="1" t="s">
        <v>900</v>
      </c>
      <c r="K101" s="40">
        <v>0.09</v>
      </c>
      <c r="L101" s="36" t="s">
        <v>918</v>
      </c>
      <c r="M101" s="1" t="s">
        <v>1169</v>
      </c>
      <c r="N101" s="36" t="s">
        <v>45</v>
      </c>
      <c r="O101" s="41">
        <v>35</v>
      </c>
      <c r="P101" s="41">
        <v>3</v>
      </c>
      <c r="Q101" s="42">
        <v>6765000</v>
      </c>
      <c r="R101" s="42">
        <v>6020248</v>
      </c>
      <c r="S101" s="42"/>
      <c r="T101" s="42"/>
      <c r="W101" s="8">
        <v>43084</v>
      </c>
      <c r="Y101" s="8">
        <f t="shared" si="26"/>
        <v>43084</v>
      </c>
      <c r="Z101" s="46">
        <f t="shared" si="27"/>
        <v>48197</v>
      </c>
      <c r="AA101" s="4">
        <v>31</v>
      </c>
      <c r="AB101" s="46">
        <f t="shared" si="35"/>
        <v>59520</v>
      </c>
      <c r="AC101" s="1" t="s">
        <v>928</v>
      </c>
      <c r="AD101" s="1" t="s">
        <v>983</v>
      </c>
      <c r="AE101" s="1" t="s">
        <v>929</v>
      </c>
      <c r="AF101" s="1" t="s">
        <v>930</v>
      </c>
      <c r="AI101" s="47"/>
      <c r="AU101" s="36">
        <v>35</v>
      </c>
      <c r="AX101" s="1">
        <v>3</v>
      </c>
      <c r="AY101" s="1">
        <v>19</v>
      </c>
      <c r="AZ101" s="1">
        <v>13</v>
      </c>
      <c r="BR101" s="52">
        <v>6944325</v>
      </c>
      <c r="BS101" s="52" t="e">
        <f>VLOOKUP(M101,#REF!,2,TRUE)*(BR101/1000000)</f>
        <v>#REF!</v>
      </c>
      <c r="BT101" s="43" t="e">
        <f>VLOOKUP(M101,#REF!,3,TRUE)*(BR101/1000000)</f>
        <v>#REF!</v>
      </c>
    </row>
    <row r="102" spans="1:72" ht="15" customHeight="1" x14ac:dyDescent="0.25">
      <c r="A102" s="8">
        <v>42758</v>
      </c>
      <c r="B102" s="36">
        <v>2017</v>
      </c>
      <c r="C102" s="36" t="s">
        <v>1014</v>
      </c>
      <c r="D102" s="1" t="s">
        <v>916</v>
      </c>
      <c r="E102" s="1" t="s">
        <v>990</v>
      </c>
      <c r="F102" s="1" t="s">
        <v>192</v>
      </c>
      <c r="G102" s="38">
        <v>59101</v>
      </c>
      <c r="H102" s="39">
        <v>45.778612000000003</v>
      </c>
      <c r="I102" s="39">
        <v>-108.53908199999999</v>
      </c>
      <c r="J102" s="1" t="s">
        <v>300</v>
      </c>
      <c r="K102" s="40">
        <v>0.09</v>
      </c>
      <c r="L102" s="36" t="s">
        <v>440</v>
      </c>
      <c r="M102" s="1" t="s">
        <v>1169</v>
      </c>
      <c r="N102" s="36" t="s">
        <v>45</v>
      </c>
      <c r="O102" s="41">
        <v>24</v>
      </c>
      <c r="P102" s="41">
        <v>1</v>
      </c>
      <c r="Q102" s="42">
        <v>4176140</v>
      </c>
      <c r="R102" s="42">
        <v>3549364</v>
      </c>
      <c r="S102" s="42"/>
      <c r="T102" s="42"/>
      <c r="W102" s="8">
        <v>43294</v>
      </c>
      <c r="Y102" s="8">
        <f t="shared" si="26"/>
        <v>43294</v>
      </c>
      <c r="Z102" s="46">
        <f t="shared" si="27"/>
        <v>48408</v>
      </c>
      <c r="AA102" s="4">
        <v>31</v>
      </c>
      <c r="AB102" s="46">
        <f t="shared" si="35"/>
        <v>59730</v>
      </c>
      <c r="AC102" s="1" t="s">
        <v>931</v>
      </c>
      <c r="AD102" s="1" t="s">
        <v>982</v>
      </c>
      <c r="AE102" s="1" t="s">
        <v>932</v>
      </c>
      <c r="AF102" s="1" t="s">
        <v>933</v>
      </c>
      <c r="AI102" s="47"/>
      <c r="AU102" s="36">
        <v>24</v>
      </c>
      <c r="AX102" s="1">
        <v>11</v>
      </c>
      <c r="AY102" s="1">
        <v>13</v>
      </c>
      <c r="BR102" s="52">
        <v>4647521</v>
      </c>
      <c r="BS102" s="52" t="e">
        <f>VLOOKUP(M102,#REF!,2,TRUE)*(BR102/1000000)</f>
        <v>#REF!</v>
      </c>
      <c r="BT102" s="43" t="e">
        <f>VLOOKUP(M102,#REF!,3,TRUE)*(BR102/1000000)</f>
        <v>#REF!</v>
      </c>
    </row>
    <row r="103" spans="1:72" ht="15" customHeight="1" x14ac:dyDescent="0.25">
      <c r="A103" s="7">
        <v>42758</v>
      </c>
      <c r="B103" s="11">
        <v>2017</v>
      </c>
      <c r="C103" s="11" t="s">
        <v>1014</v>
      </c>
      <c r="D103" s="71" t="s">
        <v>1598</v>
      </c>
      <c r="E103" s="71" t="s">
        <v>1446</v>
      </c>
      <c r="F103" s="71" t="s">
        <v>919</v>
      </c>
      <c r="G103" s="12">
        <v>59218</v>
      </c>
      <c r="H103" s="39">
        <v>48.145935000000001</v>
      </c>
      <c r="I103" s="39">
        <v>-104.51875699999999</v>
      </c>
      <c r="J103" s="71" t="s">
        <v>895</v>
      </c>
      <c r="K103" s="89">
        <v>0.09</v>
      </c>
      <c r="L103" s="11" t="s">
        <v>918</v>
      </c>
      <c r="M103" s="71" t="s">
        <v>307</v>
      </c>
      <c r="N103" s="11" t="s">
        <v>45</v>
      </c>
      <c r="O103" s="76" t="s">
        <v>377</v>
      </c>
      <c r="P103" s="76"/>
      <c r="Q103" s="77">
        <v>2722170</v>
      </c>
      <c r="R103" s="77">
        <v>2372000</v>
      </c>
      <c r="S103" s="77"/>
      <c r="T103" s="77"/>
      <c r="U103" s="79"/>
      <c r="V103" s="80"/>
      <c r="W103" s="8">
        <v>43586</v>
      </c>
      <c r="Y103" s="8">
        <f t="shared" ref="Y103:Y166" si="44">IF(W103&gt;X103,W103,X103)</f>
        <v>43586</v>
      </c>
      <c r="Z103" s="46">
        <f t="shared" ref="Z103:Z165" si="45">DATE(YEAR(Y103)+14,MONTH(Y103),DAY(Y103))</f>
        <v>48700</v>
      </c>
      <c r="AA103" s="3">
        <v>31</v>
      </c>
      <c r="AB103" s="46">
        <f t="shared" ref="AB103:AB129" si="46">DATE(YEAR(Z103)+AA103,MONTH(Z103),DAY(Z103))</f>
        <v>60023</v>
      </c>
      <c r="AC103" s="71" t="s">
        <v>934</v>
      </c>
      <c r="AD103" s="71" t="s">
        <v>976</v>
      </c>
      <c r="AE103" s="71" t="s">
        <v>935</v>
      </c>
      <c r="AF103" s="71" t="s">
        <v>936</v>
      </c>
      <c r="AG103" s="71"/>
      <c r="AH103" s="11"/>
      <c r="AI103" s="47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90"/>
      <c r="AU103" s="11">
        <v>16</v>
      </c>
      <c r="AV103" s="71"/>
      <c r="AW103" s="71"/>
      <c r="AX103" s="71">
        <v>8</v>
      </c>
      <c r="AY103" s="71">
        <v>8</v>
      </c>
      <c r="AZ103" s="71"/>
      <c r="BA103" s="71"/>
      <c r="BB103" s="71"/>
      <c r="BC103" s="71"/>
      <c r="BD103" s="71"/>
      <c r="BE103" s="71"/>
      <c r="BS103" s="52" t="e">
        <f>VLOOKUP(M103,#REF!,2,TRUE)*(BR103/1000000)</f>
        <v>#REF!</v>
      </c>
      <c r="BT103" s="43" t="e">
        <f>VLOOKUP(M103,#REF!,3,TRUE)*(BR103/1000000)</f>
        <v>#REF!</v>
      </c>
    </row>
    <row r="104" spans="1:72" ht="15" customHeight="1" x14ac:dyDescent="0.25">
      <c r="A104" s="8">
        <v>42705</v>
      </c>
      <c r="B104" s="36">
        <v>2016</v>
      </c>
      <c r="C104" s="36" t="s">
        <v>1014</v>
      </c>
      <c r="D104" s="1" t="s">
        <v>1731</v>
      </c>
      <c r="E104" s="1" t="s">
        <v>1445</v>
      </c>
      <c r="F104" s="1" t="s">
        <v>65</v>
      </c>
      <c r="G104" s="38">
        <v>59401</v>
      </c>
      <c r="H104" s="39">
        <v>47.492609999999999</v>
      </c>
      <c r="I104" s="39">
        <v>-111.25169</v>
      </c>
      <c r="J104" s="1" t="s">
        <v>308</v>
      </c>
      <c r="K104" s="40">
        <v>0.04</v>
      </c>
      <c r="L104" s="36" t="s">
        <v>84</v>
      </c>
      <c r="M104" s="1" t="s">
        <v>307</v>
      </c>
      <c r="N104" s="36" t="s">
        <v>45</v>
      </c>
      <c r="O104" s="41">
        <v>96</v>
      </c>
      <c r="P104" s="41">
        <v>8</v>
      </c>
      <c r="Q104" s="42">
        <v>4453030</v>
      </c>
      <c r="R104" s="42">
        <v>4355494</v>
      </c>
      <c r="S104" s="42">
        <v>7500000</v>
      </c>
      <c r="T104" s="42">
        <v>8353000</v>
      </c>
      <c r="U104" s="53">
        <v>3.5000000000000003E-2</v>
      </c>
      <c r="V104" s="45">
        <v>40</v>
      </c>
      <c r="W104" s="8">
        <v>43100</v>
      </c>
      <c r="Y104" s="8">
        <f t="shared" si="44"/>
        <v>43100</v>
      </c>
      <c r="Z104" s="46">
        <f t="shared" si="45"/>
        <v>48213</v>
      </c>
      <c r="AA104" s="4">
        <v>15</v>
      </c>
      <c r="AB104" s="46">
        <f t="shared" si="46"/>
        <v>53692</v>
      </c>
      <c r="AC104" s="1" t="s">
        <v>1845</v>
      </c>
      <c r="AI104" s="47"/>
      <c r="BR104" s="52">
        <v>14109697</v>
      </c>
      <c r="BS104" s="52" t="e">
        <f>VLOOKUP(M104,#REF!,2,TRUE)*(BR104/1000000)</f>
        <v>#REF!</v>
      </c>
      <c r="BT104" s="43" t="e">
        <f>VLOOKUP(M104,#REF!,3,TRUE)*(BR104/1000000)</f>
        <v>#REF!</v>
      </c>
    </row>
    <row r="105" spans="1:72" ht="15" customHeight="1" x14ac:dyDescent="0.25">
      <c r="A105" s="8">
        <v>42388</v>
      </c>
      <c r="B105" s="36">
        <v>2016</v>
      </c>
      <c r="C105" s="36" t="s">
        <v>1014</v>
      </c>
      <c r="D105" s="1" t="s">
        <v>986</v>
      </c>
      <c r="E105" s="1" t="s">
        <v>1444</v>
      </c>
      <c r="F105" s="1" t="s">
        <v>912</v>
      </c>
      <c r="G105" s="38">
        <v>59840</v>
      </c>
      <c r="H105" s="39">
        <v>46.249890000000001</v>
      </c>
      <c r="I105" s="39">
        <v>-114.16888</v>
      </c>
      <c r="J105" s="1" t="s">
        <v>356</v>
      </c>
      <c r="K105" s="40">
        <v>0.09</v>
      </c>
      <c r="L105" s="36" t="s">
        <v>84</v>
      </c>
      <c r="M105" s="1" t="s">
        <v>307</v>
      </c>
      <c r="N105" s="36" t="s">
        <v>45</v>
      </c>
      <c r="O105" s="41">
        <v>34</v>
      </c>
      <c r="P105" s="41">
        <v>3</v>
      </c>
      <c r="Q105" s="42">
        <v>5603920</v>
      </c>
      <c r="R105" s="42">
        <v>5211124</v>
      </c>
      <c r="S105" s="42"/>
      <c r="T105" s="42"/>
      <c r="W105" s="8">
        <v>42716</v>
      </c>
      <c r="Y105" s="8">
        <f t="shared" si="44"/>
        <v>42716</v>
      </c>
      <c r="Z105" s="46">
        <f t="shared" si="45"/>
        <v>47829</v>
      </c>
      <c r="AA105" s="4">
        <v>31</v>
      </c>
      <c r="AB105" s="46">
        <f t="shared" si="46"/>
        <v>59152</v>
      </c>
      <c r="AC105" s="1" t="s">
        <v>979</v>
      </c>
      <c r="AD105" s="1" t="s">
        <v>980</v>
      </c>
      <c r="AE105" s="1" t="s">
        <v>981</v>
      </c>
      <c r="AF105" s="1" t="s">
        <v>936</v>
      </c>
      <c r="AI105" s="47"/>
      <c r="AU105" s="36">
        <v>34</v>
      </c>
      <c r="AX105" s="1">
        <v>8</v>
      </c>
      <c r="AY105" s="1">
        <v>26</v>
      </c>
      <c r="BR105" s="52">
        <v>6652867</v>
      </c>
      <c r="BS105" s="52" t="e">
        <f>VLOOKUP(M105,#REF!,2,TRUE)*(BR105/1000000)</f>
        <v>#REF!</v>
      </c>
      <c r="BT105" s="43" t="e">
        <f>VLOOKUP(M105,#REF!,3,TRUE)*(BR105/1000000)</f>
        <v>#REF!</v>
      </c>
    </row>
    <row r="106" spans="1:72" ht="15" customHeight="1" x14ac:dyDescent="0.25">
      <c r="A106" s="8">
        <v>42388</v>
      </c>
      <c r="B106" s="36">
        <v>2016</v>
      </c>
      <c r="C106" s="36" t="s">
        <v>1014</v>
      </c>
      <c r="D106" s="1" t="s">
        <v>906</v>
      </c>
      <c r="E106" s="1" t="s">
        <v>1012</v>
      </c>
      <c r="F106" s="1" t="s">
        <v>192</v>
      </c>
      <c r="G106" s="38">
        <v>59101</v>
      </c>
      <c r="H106" s="39">
        <v>45.824007000000002</v>
      </c>
      <c r="I106" s="39">
        <v>-108.477512</v>
      </c>
      <c r="J106" s="1" t="s">
        <v>300</v>
      </c>
      <c r="K106" s="40">
        <v>0.09</v>
      </c>
      <c r="L106" s="36" t="s">
        <v>84</v>
      </c>
      <c r="M106" s="1" t="s">
        <v>1169</v>
      </c>
      <c r="N106" s="36" t="s">
        <v>45</v>
      </c>
      <c r="O106" s="41">
        <v>30</v>
      </c>
      <c r="P106" s="41">
        <v>8</v>
      </c>
      <c r="Q106" s="42">
        <v>3395880</v>
      </c>
      <c r="R106" s="42">
        <v>3497407</v>
      </c>
      <c r="S106" s="42"/>
      <c r="T106" s="42"/>
      <c r="W106" s="8">
        <v>43270</v>
      </c>
      <c r="Y106" s="8">
        <f t="shared" si="44"/>
        <v>43270</v>
      </c>
      <c r="Z106" s="46">
        <f t="shared" si="45"/>
        <v>48384</v>
      </c>
      <c r="AA106" s="4">
        <v>32</v>
      </c>
      <c r="AB106" s="46">
        <f t="shared" si="46"/>
        <v>60072</v>
      </c>
      <c r="AC106" s="1" t="s">
        <v>977</v>
      </c>
      <c r="AD106" s="1" t="s">
        <v>58</v>
      </c>
      <c r="AE106" s="1" t="s">
        <v>978</v>
      </c>
      <c r="AF106" s="1" t="s">
        <v>933</v>
      </c>
      <c r="AI106" s="47"/>
      <c r="AU106" s="36">
        <v>30</v>
      </c>
      <c r="AX106" s="1">
        <v>15</v>
      </c>
      <c r="AY106" s="1">
        <v>15</v>
      </c>
      <c r="BR106" s="52">
        <v>6026028</v>
      </c>
      <c r="BS106" s="52" t="e">
        <f>VLOOKUP(M106,#REF!,2,TRUE)*(BR106/1000000)</f>
        <v>#REF!</v>
      </c>
      <c r="BT106" s="43" t="e">
        <f>VLOOKUP(M106,#REF!,3,TRUE)*(BR106/1000000)</f>
        <v>#REF!</v>
      </c>
    </row>
    <row r="107" spans="1:72" ht="15" customHeight="1" x14ac:dyDescent="0.25">
      <c r="A107" s="7">
        <v>42388</v>
      </c>
      <c r="B107" s="11">
        <v>2016</v>
      </c>
      <c r="C107" s="11" t="s">
        <v>1014</v>
      </c>
      <c r="D107" s="71" t="s">
        <v>1597</v>
      </c>
      <c r="E107" s="71" t="s">
        <v>1443</v>
      </c>
      <c r="F107" s="71" t="s">
        <v>812</v>
      </c>
      <c r="G107" s="12">
        <v>59201</v>
      </c>
      <c r="H107" s="39">
        <v>48.102020000000003</v>
      </c>
      <c r="I107" s="39">
        <v>-105.64167999999999</v>
      </c>
      <c r="J107" s="71" t="s">
        <v>213</v>
      </c>
      <c r="K107" s="89">
        <v>0.09</v>
      </c>
      <c r="L107" s="11" t="s">
        <v>84</v>
      </c>
      <c r="M107" s="71" t="s">
        <v>1169</v>
      </c>
      <c r="N107" s="11" t="s">
        <v>45</v>
      </c>
      <c r="O107" s="76" t="s">
        <v>377</v>
      </c>
      <c r="P107" s="76"/>
      <c r="Q107" s="77">
        <f>5570420</f>
        <v>5570420</v>
      </c>
      <c r="R107" s="77">
        <v>5012877</v>
      </c>
      <c r="S107" s="77"/>
      <c r="T107" s="77"/>
      <c r="U107" s="79"/>
      <c r="V107" s="80"/>
      <c r="W107" s="8">
        <v>43061</v>
      </c>
      <c r="Y107" s="8">
        <f t="shared" si="44"/>
        <v>43061</v>
      </c>
      <c r="Z107" s="46">
        <f t="shared" si="45"/>
        <v>48174</v>
      </c>
      <c r="AA107" s="3">
        <v>31</v>
      </c>
      <c r="AB107" s="46">
        <f t="shared" si="46"/>
        <v>59497</v>
      </c>
      <c r="AC107" s="71" t="s">
        <v>975</v>
      </c>
      <c r="AD107" s="71" t="s">
        <v>976</v>
      </c>
      <c r="AE107" s="71" t="s">
        <v>935</v>
      </c>
      <c r="AF107" s="71" t="s">
        <v>936</v>
      </c>
      <c r="AG107" s="71"/>
      <c r="AH107" s="11"/>
      <c r="AI107" s="47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90"/>
      <c r="AU107" s="11">
        <v>28</v>
      </c>
      <c r="AV107" s="71"/>
      <c r="AW107" s="71"/>
      <c r="AX107" s="71">
        <v>8</v>
      </c>
      <c r="AY107" s="71">
        <v>12</v>
      </c>
      <c r="AZ107" s="71">
        <v>8</v>
      </c>
      <c r="BA107" s="71"/>
      <c r="BB107" s="71"/>
      <c r="BC107" s="71"/>
      <c r="BD107" s="71"/>
      <c r="BE107" s="71"/>
      <c r="BR107" s="52">
        <v>6385217</v>
      </c>
      <c r="BS107" s="52" t="e">
        <f>VLOOKUP(M107,#REF!,2,TRUE)*(BR107/1000000)</f>
        <v>#REF!</v>
      </c>
      <c r="BT107" s="43" t="e">
        <f>VLOOKUP(M107,#REF!,3,TRUE)*(BR107/1000000)</f>
        <v>#REF!</v>
      </c>
    </row>
    <row r="108" spans="1:72" ht="15" customHeight="1" x14ac:dyDescent="0.25">
      <c r="A108" s="8">
        <v>42388</v>
      </c>
      <c r="B108" s="36">
        <v>2016</v>
      </c>
      <c r="C108" s="36" t="s">
        <v>1014</v>
      </c>
      <c r="D108" s="1" t="s">
        <v>1899</v>
      </c>
      <c r="E108" s="1" t="s">
        <v>909</v>
      </c>
      <c r="F108" s="1" t="s">
        <v>911</v>
      </c>
      <c r="G108" s="38">
        <v>59911</v>
      </c>
      <c r="H108" s="39">
        <v>48.067506999999999</v>
      </c>
      <c r="I108" s="39">
        <v>-114.077213</v>
      </c>
      <c r="J108" s="1" t="s">
        <v>343</v>
      </c>
      <c r="K108" s="40">
        <v>0.09</v>
      </c>
      <c r="L108" s="36" t="s">
        <v>440</v>
      </c>
      <c r="M108" s="1" t="s">
        <v>307</v>
      </c>
      <c r="N108" s="36" t="s">
        <v>45</v>
      </c>
      <c r="O108" s="41">
        <v>31</v>
      </c>
      <c r="P108" s="41">
        <v>3</v>
      </c>
      <c r="Q108" s="42">
        <v>2625390</v>
      </c>
      <c r="R108" s="42">
        <v>2573396</v>
      </c>
      <c r="S108" s="42"/>
      <c r="T108" s="42"/>
      <c r="W108" s="8">
        <v>42782</v>
      </c>
      <c r="Y108" s="8">
        <f t="shared" si="44"/>
        <v>42782</v>
      </c>
      <c r="Z108" s="46">
        <f t="shared" si="45"/>
        <v>47895</v>
      </c>
      <c r="AA108" s="4">
        <v>31</v>
      </c>
      <c r="AB108" s="46">
        <f t="shared" si="46"/>
        <v>59218</v>
      </c>
      <c r="AC108" s="1" t="s">
        <v>922</v>
      </c>
      <c r="AD108" s="1" t="s">
        <v>972</v>
      </c>
      <c r="AE108" s="1" t="s">
        <v>973</v>
      </c>
      <c r="AF108" s="1" t="s">
        <v>974</v>
      </c>
      <c r="AI108" s="47"/>
      <c r="AU108" s="36">
        <v>31</v>
      </c>
      <c r="AX108" s="1">
        <v>8</v>
      </c>
      <c r="AY108" s="1">
        <v>20</v>
      </c>
      <c r="AZ108" s="1">
        <v>3</v>
      </c>
      <c r="BR108" s="52">
        <v>4082561</v>
      </c>
      <c r="BS108" s="52" t="e">
        <f>VLOOKUP(M108,#REF!,2,TRUE)*(BR108/1000000)</f>
        <v>#REF!</v>
      </c>
      <c r="BT108" s="43" t="e">
        <f>VLOOKUP(M108,#REF!,3,TRUE)*(BR108/1000000)</f>
        <v>#REF!</v>
      </c>
    </row>
    <row r="109" spans="1:72" ht="15" customHeight="1" x14ac:dyDescent="0.25">
      <c r="A109" s="9">
        <v>42388</v>
      </c>
      <c r="B109" s="92">
        <v>2016</v>
      </c>
      <c r="C109" s="92" t="s">
        <v>1596</v>
      </c>
      <c r="D109" s="93" t="s">
        <v>1134</v>
      </c>
      <c r="E109" s="93" t="s">
        <v>908</v>
      </c>
      <c r="F109" s="93" t="s">
        <v>1133</v>
      </c>
      <c r="G109" s="95">
        <v>59636</v>
      </c>
      <c r="H109" s="39">
        <v>46.618734000000003</v>
      </c>
      <c r="I109" s="39">
        <v>-112.10198</v>
      </c>
      <c r="J109" s="96" t="s">
        <v>913</v>
      </c>
      <c r="K109" s="97">
        <v>0.09</v>
      </c>
      <c r="L109" s="92" t="s">
        <v>84</v>
      </c>
      <c r="M109" s="93" t="s">
        <v>307</v>
      </c>
      <c r="N109" s="92" t="s">
        <v>45</v>
      </c>
      <c r="O109" s="98">
        <v>42</v>
      </c>
      <c r="P109" s="98">
        <v>12</v>
      </c>
      <c r="Q109" s="99">
        <v>6704660</v>
      </c>
      <c r="R109" s="99">
        <v>5843724</v>
      </c>
      <c r="S109" s="99"/>
      <c r="T109" s="99"/>
      <c r="U109" s="100"/>
      <c r="V109" s="101"/>
      <c r="W109" s="8">
        <v>2019</v>
      </c>
      <c r="Y109" s="8">
        <f t="shared" si="44"/>
        <v>2019</v>
      </c>
      <c r="Z109" s="46">
        <f t="shared" si="45"/>
        <v>7132</v>
      </c>
      <c r="AA109" s="5">
        <v>15</v>
      </c>
      <c r="AB109" s="46">
        <f t="shared" si="46"/>
        <v>12611</v>
      </c>
      <c r="AC109" s="93" t="s">
        <v>968</v>
      </c>
      <c r="AD109" s="93" t="s">
        <v>969</v>
      </c>
      <c r="AE109" s="93" t="s">
        <v>970</v>
      </c>
      <c r="AF109" s="93" t="s">
        <v>971</v>
      </c>
      <c r="AG109" s="93"/>
      <c r="AH109" s="92"/>
      <c r="AI109" s="47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103"/>
      <c r="AU109" s="92">
        <v>42</v>
      </c>
      <c r="AV109" s="93"/>
      <c r="AW109" s="93">
        <v>1</v>
      </c>
      <c r="AX109" s="93">
        <v>22</v>
      </c>
      <c r="AY109" s="93">
        <v>13</v>
      </c>
      <c r="AZ109" s="93">
        <v>4</v>
      </c>
      <c r="BA109" s="93">
        <v>2</v>
      </c>
      <c r="BB109" s="93"/>
      <c r="BC109" s="93"/>
      <c r="BD109" s="93"/>
      <c r="BE109" s="93"/>
      <c r="BR109" s="52">
        <v>11960772</v>
      </c>
      <c r="BS109" s="52" t="e">
        <f>VLOOKUP(M109,#REF!,2,TRUE)*(BR109/1000000)</f>
        <v>#REF!</v>
      </c>
      <c r="BT109" s="43" t="e">
        <f>VLOOKUP(M109,#REF!,3,TRUE)*(BR109/1000000)</f>
        <v>#REF!</v>
      </c>
    </row>
    <row r="110" spans="1:72" s="71" customFormat="1" ht="15" customHeight="1" x14ac:dyDescent="0.25">
      <c r="A110" s="7">
        <v>42388</v>
      </c>
      <c r="B110" s="11">
        <v>2016</v>
      </c>
      <c r="C110" s="11" t="s">
        <v>1014</v>
      </c>
      <c r="D110" s="71" t="s">
        <v>1901</v>
      </c>
      <c r="E110" s="71" t="s">
        <v>1434</v>
      </c>
      <c r="F110" s="71" t="s">
        <v>65</v>
      </c>
      <c r="G110" s="12">
        <v>59405</v>
      </c>
      <c r="H110" s="39">
        <v>47.489989999999999</v>
      </c>
      <c r="I110" s="39">
        <v>-111.25415</v>
      </c>
      <c r="J110" s="71" t="s">
        <v>308</v>
      </c>
      <c r="K110" s="89">
        <v>0.09</v>
      </c>
      <c r="L110" s="11" t="s">
        <v>440</v>
      </c>
      <c r="M110" s="71" t="s">
        <v>1169</v>
      </c>
      <c r="N110" s="11" t="s">
        <v>914</v>
      </c>
      <c r="O110" s="76"/>
      <c r="P110" s="76">
        <v>1</v>
      </c>
      <c r="Q110" s="77">
        <v>319730</v>
      </c>
      <c r="R110" s="77">
        <v>290925</v>
      </c>
      <c r="S110" s="77"/>
      <c r="T110" s="77"/>
      <c r="U110" s="79"/>
      <c r="V110" s="80"/>
      <c r="W110" s="7">
        <v>42577</v>
      </c>
      <c r="X110" s="7"/>
      <c r="Y110" s="8">
        <f t="shared" si="44"/>
        <v>42577</v>
      </c>
      <c r="Z110" s="46">
        <f t="shared" si="45"/>
        <v>47690</v>
      </c>
      <c r="AA110" s="3">
        <v>31</v>
      </c>
      <c r="AB110" s="83">
        <f t="shared" si="46"/>
        <v>59013</v>
      </c>
      <c r="AC110" s="71" t="s">
        <v>964</v>
      </c>
      <c r="AD110" s="71" t="s">
        <v>965</v>
      </c>
      <c r="AE110" s="71" t="s">
        <v>941</v>
      </c>
      <c r="AF110" s="71" t="s">
        <v>966</v>
      </c>
      <c r="AH110" s="11"/>
      <c r="AI110" s="47"/>
      <c r="AT110" s="90"/>
      <c r="AU110" s="11">
        <v>16</v>
      </c>
      <c r="AX110" s="71">
        <v>8</v>
      </c>
      <c r="AY110" s="71">
        <v>8</v>
      </c>
      <c r="BF110" s="11"/>
      <c r="BG110" s="11"/>
      <c r="BH110" s="11"/>
      <c r="BI110" s="11"/>
      <c r="BJ110" s="11"/>
      <c r="BK110" s="11"/>
      <c r="BL110" s="11"/>
      <c r="BM110" s="11"/>
      <c r="BN110" s="11"/>
      <c r="BR110" s="52"/>
      <c r="BS110" s="52" t="e">
        <f>VLOOKUP(M110,#REF!,2,TRUE)*(BR110/1000000)</f>
        <v>#REF!</v>
      </c>
      <c r="BT110" s="43" t="e">
        <f>VLOOKUP(M110,#REF!,3,TRUE)*(BR110/1000000)</f>
        <v>#REF!</v>
      </c>
    </row>
    <row r="111" spans="1:72" ht="15" customHeight="1" x14ac:dyDescent="0.25">
      <c r="A111" s="8">
        <v>42388</v>
      </c>
      <c r="B111" s="36">
        <v>2016</v>
      </c>
      <c r="C111" s="36" t="s">
        <v>1014</v>
      </c>
      <c r="D111" s="1" t="s">
        <v>1011</v>
      </c>
      <c r="E111" s="1" t="s">
        <v>907</v>
      </c>
      <c r="F111" s="1" t="s">
        <v>910</v>
      </c>
      <c r="G111" s="38">
        <v>59718</v>
      </c>
      <c r="H111" s="39">
        <v>45.771362000000003</v>
      </c>
      <c r="I111" s="39">
        <v>-111.183746</v>
      </c>
      <c r="J111" s="1" t="s">
        <v>314</v>
      </c>
      <c r="K111" s="40">
        <v>0.09</v>
      </c>
      <c r="L111" s="36" t="s">
        <v>440</v>
      </c>
      <c r="M111" s="1" t="s">
        <v>307</v>
      </c>
      <c r="N111" s="36" t="s">
        <v>45</v>
      </c>
      <c r="O111" s="41">
        <v>24</v>
      </c>
      <c r="P111" s="41">
        <v>2</v>
      </c>
      <c r="Q111" s="42">
        <v>2680000</v>
      </c>
      <c r="R111" s="42">
        <v>2492151</v>
      </c>
      <c r="S111" s="42"/>
      <c r="T111" s="42"/>
      <c r="W111" s="8">
        <v>43010</v>
      </c>
      <c r="Y111" s="8">
        <f t="shared" si="44"/>
        <v>43010</v>
      </c>
      <c r="Z111" s="46">
        <f t="shared" si="45"/>
        <v>48123</v>
      </c>
      <c r="AA111" s="4">
        <v>31</v>
      </c>
      <c r="AB111" s="46">
        <f t="shared" si="46"/>
        <v>59446</v>
      </c>
      <c r="AC111" s="1" t="s">
        <v>961</v>
      </c>
      <c r="AD111" s="1" t="s">
        <v>962</v>
      </c>
      <c r="AE111" s="1" t="s">
        <v>963</v>
      </c>
      <c r="AF111" s="1" t="s">
        <v>967</v>
      </c>
      <c r="AI111" s="47"/>
      <c r="AU111" s="36">
        <v>24</v>
      </c>
      <c r="AX111" s="1">
        <v>6</v>
      </c>
      <c r="AY111" s="1">
        <v>12</v>
      </c>
      <c r="AZ111" s="1">
        <v>6</v>
      </c>
      <c r="BR111" s="52">
        <v>3649711</v>
      </c>
      <c r="BS111" s="52" t="e">
        <f>VLOOKUP(M111,#REF!,2,TRUE)*(BR111/1000000)</f>
        <v>#REF!</v>
      </c>
      <c r="BT111" s="43" t="e">
        <f>VLOOKUP(M111,#REF!,3,TRUE)*(BR111/1000000)</f>
        <v>#REF!</v>
      </c>
    </row>
    <row r="112" spans="1:72" ht="15" customHeight="1" x14ac:dyDescent="0.25">
      <c r="A112" s="8">
        <v>43288</v>
      </c>
      <c r="B112" s="36">
        <v>2015</v>
      </c>
      <c r="C112" s="36" t="s">
        <v>1014</v>
      </c>
      <c r="D112" s="1" t="s">
        <v>1732</v>
      </c>
      <c r="E112" s="1" t="s">
        <v>1608</v>
      </c>
      <c r="F112" s="1" t="s">
        <v>195</v>
      </c>
      <c r="G112" s="38">
        <v>59715</v>
      </c>
      <c r="H112" s="39">
        <v>45.692030000000003</v>
      </c>
      <c r="I112" s="39">
        <v>-111.05271</v>
      </c>
      <c r="J112" s="1" t="s">
        <v>314</v>
      </c>
      <c r="K112" s="40">
        <v>0.04</v>
      </c>
      <c r="L112" s="36" t="s">
        <v>440</v>
      </c>
      <c r="M112" s="1" t="s">
        <v>1169</v>
      </c>
      <c r="N112" s="36" t="s">
        <v>45</v>
      </c>
      <c r="O112" s="41">
        <v>136</v>
      </c>
      <c r="P112" s="41">
        <v>8</v>
      </c>
      <c r="Q112" s="42">
        <v>7502520</v>
      </c>
      <c r="R112" s="42">
        <v>10046842</v>
      </c>
      <c r="S112" s="42">
        <v>15500000</v>
      </c>
      <c r="T112" s="42">
        <v>11700000</v>
      </c>
      <c r="U112" s="53">
        <v>4.6800000000000001E-2</v>
      </c>
      <c r="V112" s="45">
        <v>35</v>
      </c>
      <c r="W112" s="8">
        <v>42674</v>
      </c>
      <c r="Y112" s="8">
        <f t="shared" si="44"/>
        <v>42674</v>
      </c>
      <c r="Z112" s="46">
        <f t="shared" si="45"/>
        <v>47787</v>
      </c>
      <c r="AA112" s="4">
        <v>31</v>
      </c>
      <c r="AB112" s="46">
        <f t="shared" si="46"/>
        <v>59110</v>
      </c>
      <c r="AC112" s="1" t="s">
        <v>1718</v>
      </c>
      <c r="AI112" s="47"/>
      <c r="AU112" s="36">
        <v>136</v>
      </c>
      <c r="BR112" s="52">
        <v>24562466</v>
      </c>
      <c r="BS112" s="52" t="e">
        <f>VLOOKUP(M112,#REF!,2,TRUE)*(BR112/1000000)</f>
        <v>#REF!</v>
      </c>
      <c r="BT112" s="43" t="e">
        <f>VLOOKUP(M112,#REF!,3,TRUE)*(BR112/1000000)</f>
        <v>#REF!</v>
      </c>
    </row>
    <row r="113" spans="1:72" ht="15" customHeight="1" x14ac:dyDescent="0.25">
      <c r="A113" s="8">
        <v>41960</v>
      </c>
      <c r="B113" s="36">
        <v>2015</v>
      </c>
      <c r="C113" s="36" t="s">
        <v>1014</v>
      </c>
      <c r="D113" s="1" t="s">
        <v>888</v>
      </c>
      <c r="E113" s="1" t="s">
        <v>1607</v>
      </c>
      <c r="F113" s="1" t="s">
        <v>338</v>
      </c>
      <c r="G113" s="38">
        <v>59808</v>
      </c>
      <c r="H113" s="39">
        <v>46.886139999999997</v>
      </c>
      <c r="I113" s="39">
        <v>-114.032695</v>
      </c>
      <c r="J113" s="1" t="s">
        <v>338</v>
      </c>
      <c r="K113" s="40">
        <v>0.09</v>
      </c>
      <c r="L113" s="36" t="s">
        <v>84</v>
      </c>
      <c r="M113" s="1" t="s">
        <v>307</v>
      </c>
      <c r="N113" s="36" t="s">
        <v>746</v>
      </c>
      <c r="O113" s="41">
        <v>70</v>
      </c>
      <c r="P113" s="41">
        <v>1</v>
      </c>
      <c r="Q113" s="42">
        <v>5017230</v>
      </c>
      <c r="R113" s="42">
        <v>4096530</v>
      </c>
      <c r="S113" s="42"/>
      <c r="T113" s="42"/>
      <c r="W113" s="8">
        <v>42674</v>
      </c>
      <c r="Y113" s="8">
        <f t="shared" si="44"/>
        <v>42674</v>
      </c>
      <c r="Z113" s="46">
        <f t="shared" si="45"/>
        <v>47787</v>
      </c>
      <c r="AA113" s="4">
        <v>31</v>
      </c>
      <c r="AB113" s="46">
        <f t="shared" si="46"/>
        <v>59110</v>
      </c>
      <c r="AC113" s="1" t="s">
        <v>958</v>
      </c>
      <c r="AD113" s="1" t="s">
        <v>959</v>
      </c>
      <c r="AE113" s="1" t="s">
        <v>506</v>
      </c>
      <c r="AF113" s="1" t="s">
        <v>960</v>
      </c>
      <c r="AI113" s="47"/>
      <c r="AU113" s="36">
        <v>71</v>
      </c>
      <c r="AX113" s="1">
        <v>56</v>
      </c>
      <c r="AY113" s="1">
        <v>14</v>
      </c>
      <c r="BR113" s="52">
        <v>6248773</v>
      </c>
      <c r="BS113" s="52" t="e">
        <f>VLOOKUP(M113,#REF!,2,TRUE)*(BR113/1000000)</f>
        <v>#REF!</v>
      </c>
      <c r="BT113" s="43" t="e">
        <f>VLOOKUP(M113,#REF!,3,TRUE)*(BR113/1000000)</f>
        <v>#REF!</v>
      </c>
    </row>
    <row r="114" spans="1:72" ht="15" customHeight="1" x14ac:dyDescent="0.25">
      <c r="A114" s="8">
        <v>41960</v>
      </c>
      <c r="B114" s="36">
        <v>2015</v>
      </c>
      <c r="C114" s="36" t="s">
        <v>1014</v>
      </c>
      <c r="D114" s="1" t="s">
        <v>889</v>
      </c>
      <c r="E114" s="1" t="s">
        <v>1130</v>
      </c>
      <c r="F114" s="1" t="s">
        <v>338</v>
      </c>
      <c r="G114" s="38">
        <v>59801</v>
      </c>
      <c r="H114" s="39">
        <v>46.872593000000002</v>
      </c>
      <c r="I114" s="39">
        <v>-114.013695</v>
      </c>
      <c r="J114" s="1" t="s">
        <v>338</v>
      </c>
      <c r="K114" s="40">
        <v>0.09</v>
      </c>
      <c r="L114" s="36" t="s">
        <v>84</v>
      </c>
      <c r="M114" s="1" t="s">
        <v>1169</v>
      </c>
      <c r="N114" s="36" t="s">
        <v>45</v>
      </c>
      <c r="O114" s="41">
        <v>27</v>
      </c>
      <c r="P114" s="41">
        <v>1</v>
      </c>
      <c r="Q114" s="42">
        <v>3968990</v>
      </c>
      <c r="R114" s="42">
        <v>4127753</v>
      </c>
      <c r="S114" s="42"/>
      <c r="T114" s="42"/>
      <c r="W114" s="8">
        <v>42733</v>
      </c>
      <c r="Y114" s="8">
        <f t="shared" si="44"/>
        <v>42733</v>
      </c>
      <c r="Z114" s="46">
        <f t="shared" si="45"/>
        <v>47846</v>
      </c>
      <c r="AA114" s="4">
        <v>31</v>
      </c>
      <c r="AB114" s="46">
        <f t="shared" si="46"/>
        <v>59169</v>
      </c>
      <c r="AC114" s="1" t="s">
        <v>954</v>
      </c>
      <c r="AD114" s="1" t="s">
        <v>955</v>
      </c>
      <c r="AE114" s="1" t="s">
        <v>956</v>
      </c>
      <c r="AF114" s="1" t="s">
        <v>957</v>
      </c>
      <c r="AI114" s="47"/>
      <c r="AU114" s="36">
        <v>26</v>
      </c>
      <c r="AW114" s="1">
        <v>6</v>
      </c>
      <c r="AX114" s="1">
        <v>11</v>
      </c>
      <c r="AY114" s="1">
        <v>3</v>
      </c>
      <c r="AZ114" s="1">
        <v>6</v>
      </c>
      <c r="BR114" s="52">
        <v>6096845</v>
      </c>
      <c r="BS114" s="52" t="e">
        <f>VLOOKUP(M114,#REF!,2,TRUE)*(BR114/1000000)</f>
        <v>#REF!</v>
      </c>
      <c r="BT114" s="43" t="e">
        <f>VLOOKUP(M114,#REF!,3,TRUE)*(BR114/1000000)</f>
        <v>#REF!</v>
      </c>
    </row>
    <row r="115" spans="1:72" s="93" customFormat="1" ht="15" customHeight="1" x14ac:dyDescent="0.25">
      <c r="A115" s="8">
        <v>41960</v>
      </c>
      <c r="B115" s="36">
        <v>2015</v>
      </c>
      <c r="C115" s="36" t="s">
        <v>1014</v>
      </c>
      <c r="D115" s="1" t="s">
        <v>883</v>
      </c>
      <c r="E115" s="1" t="s">
        <v>1129</v>
      </c>
      <c r="F115" s="1" t="s">
        <v>195</v>
      </c>
      <c r="G115" s="38">
        <v>59718</v>
      </c>
      <c r="H115" s="39">
        <v>45.697287000000003</v>
      </c>
      <c r="I115" s="39">
        <v>-111.07328699999999</v>
      </c>
      <c r="J115" s="1" t="s">
        <v>314</v>
      </c>
      <c r="K115" s="40">
        <v>0.09</v>
      </c>
      <c r="L115" s="36" t="s">
        <v>84</v>
      </c>
      <c r="M115" s="1" t="s">
        <v>1169</v>
      </c>
      <c r="N115" s="36" t="s">
        <v>45</v>
      </c>
      <c r="O115" s="41">
        <v>47</v>
      </c>
      <c r="P115" s="41">
        <v>2</v>
      </c>
      <c r="Q115" s="42">
        <v>6587500</v>
      </c>
      <c r="R115" s="42">
        <v>5763486</v>
      </c>
      <c r="S115" s="42"/>
      <c r="T115" s="42"/>
      <c r="U115" s="53"/>
      <c r="V115" s="45"/>
      <c r="W115" s="8">
        <v>42643</v>
      </c>
      <c r="X115" s="8"/>
      <c r="Y115" s="8">
        <f t="shared" si="44"/>
        <v>42643</v>
      </c>
      <c r="Z115" s="46">
        <f t="shared" si="45"/>
        <v>47756</v>
      </c>
      <c r="AA115" s="4">
        <v>31</v>
      </c>
      <c r="AB115" s="46">
        <f t="shared" si="46"/>
        <v>59079</v>
      </c>
      <c r="AC115" s="1" t="s">
        <v>950</v>
      </c>
      <c r="AD115" s="1" t="s">
        <v>951</v>
      </c>
      <c r="AE115" s="1" t="s">
        <v>952</v>
      </c>
      <c r="AF115" s="1" t="s">
        <v>953</v>
      </c>
      <c r="AG115" s="1"/>
      <c r="AH115" s="36"/>
      <c r="AI115" s="47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56"/>
      <c r="AU115" s="36">
        <v>48</v>
      </c>
      <c r="AV115" s="1"/>
      <c r="AW115" s="1"/>
      <c r="AX115" s="1"/>
      <c r="AY115" s="1">
        <v>30</v>
      </c>
      <c r="AZ115" s="1">
        <v>18</v>
      </c>
      <c r="BA115" s="1"/>
      <c r="BB115" s="1"/>
      <c r="BC115" s="1"/>
      <c r="BD115" s="1"/>
      <c r="BE115" s="1"/>
      <c r="BF115" s="92"/>
      <c r="BG115" s="92"/>
      <c r="BH115" s="92"/>
      <c r="BI115" s="92"/>
      <c r="BJ115" s="92"/>
      <c r="BK115" s="92"/>
      <c r="BL115" s="92"/>
      <c r="BM115" s="92"/>
      <c r="BN115" s="92"/>
      <c r="BR115" s="52">
        <v>8180561</v>
      </c>
      <c r="BS115" s="52" t="e">
        <f>VLOOKUP(M115,#REF!,2,TRUE)*(BR115/1000000)</f>
        <v>#REF!</v>
      </c>
      <c r="BT115" s="43" t="e">
        <f>VLOOKUP(M115,#REF!,3,TRUE)*(BR115/1000000)</f>
        <v>#REF!</v>
      </c>
    </row>
    <row r="116" spans="1:72" ht="15" customHeight="1" x14ac:dyDescent="0.25">
      <c r="A116" s="8">
        <v>41960</v>
      </c>
      <c r="B116" s="36">
        <v>2015</v>
      </c>
      <c r="C116" s="36" t="s">
        <v>1014</v>
      </c>
      <c r="D116" s="1" t="s">
        <v>882</v>
      </c>
      <c r="E116" s="1" t="s">
        <v>885</v>
      </c>
      <c r="F116" s="1" t="s">
        <v>887</v>
      </c>
      <c r="G116" s="38">
        <v>59601</v>
      </c>
      <c r="H116" s="39">
        <v>46.591687</v>
      </c>
      <c r="I116" s="39">
        <v>-112.03530600000001</v>
      </c>
      <c r="J116" s="37" t="s">
        <v>913</v>
      </c>
      <c r="K116" s="40">
        <v>0.09</v>
      </c>
      <c r="L116" s="36" t="s">
        <v>84</v>
      </c>
      <c r="M116" s="1" t="s">
        <v>307</v>
      </c>
      <c r="N116" s="36" t="s">
        <v>746</v>
      </c>
      <c r="O116" s="41">
        <v>118</v>
      </c>
      <c r="P116" s="41">
        <v>1</v>
      </c>
      <c r="Q116" s="42">
        <v>10103668</v>
      </c>
      <c r="R116" s="42">
        <v>5664683</v>
      </c>
      <c r="S116" s="42"/>
      <c r="T116" s="42"/>
      <c r="W116" s="8">
        <v>42720</v>
      </c>
      <c r="Y116" s="8">
        <f t="shared" si="44"/>
        <v>42720</v>
      </c>
      <c r="Z116" s="46">
        <f t="shared" si="45"/>
        <v>47833</v>
      </c>
      <c r="AA116" s="4">
        <v>31</v>
      </c>
      <c r="AB116" s="46">
        <f t="shared" si="46"/>
        <v>59156</v>
      </c>
      <c r="AC116" s="1" t="s">
        <v>922</v>
      </c>
      <c r="AD116" s="1" t="s">
        <v>947</v>
      </c>
      <c r="AE116" s="1" t="s">
        <v>948</v>
      </c>
      <c r="AF116" s="1" t="s">
        <v>949</v>
      </c>
      <c r="AI116" s="47"/>
      <c r="AU116" s="36">
        <v>142</v>
      </c>
      <c r="AW116" s="1">
        <v>75</v>
      </c>
      <c r="AX116" s="1">
        <v>67</v>
      </c>
      <c r="BR116" s="52">
        <v>9665250</v>
      </c>
      <c r="BS116" s="52" t="e">
        <f>VLOOKUP(M116,#REF!,2,TRUE)*(BR116/1000000)</f>
        <v>#REF!</v>
      </c>
      <c r="BT116" s="43" t="e">
        <f>VLOOKUP(M116,#REF!,3,TRUE)*(BR116/1000000)</f>
        <v>#REF!</v>
      </c>
    </row>
    <row r="117" spans="1:72" ht="15" customHeight="1" x14ac:dyDescent="0.25">
      <c r="A117" s="8">
        <v>41960</v>
      </c>
      <c r="B117" s="36">
        <v>2015</v>
      </c>
      <c r="C117" s="36" t="s">
        <v>1014</v>
      </c>
      <c r="D117" s="1" t="s">
        <v>881</v>
      </c>
      <c r="E117" s="1" t="s">
        <v>884</v>
      </c>
      <c r="F117" s="1" t="s">
        <v>886</v>
      </c>
      <c r="G117" s="38">
        <v>59741</v>
      </c>
      <c r="H117" s="39">
        <v>45.858100999999998</v>
      </c>
      <c r="I117" s="39">
        <v>-111.336899</v>
      </c>
      <c r="J117" s="1" t="s">
        <v>314</v>
      </c>
      <c r="K117" s="40">
        <v>0.09</v>
      </c>
      <c r="L117" s="36" t="s">
        <v>440</v>
      </c>
      <c r="M117" s="1" t="s">
        <v>307</v>
      </c>
      <c r="N117" s="36" t="s">
        <v>45</v>
      </c>
      <c r="O117" s="41">
        <v>16</v>
      </c>
      <c r="P117" s="41">
        <v>3</v>
      </c>
      <c r="Q117" s="42">
        <v>1534940</v>
      </c>
      <c r="R117" s="42">
        <v>1381308</v>
      </c>
      <c r="S117" s="42"/>
      <c r="T117" s="42"/>
      <c r="W117" s="8">
        <v>42513</v>
      </c>
      <c r="Y117" s="8">
        <f t="shared" si="44"/>
        <v>42513</v>
      </c>
      <c r="Z117" s="46">
        <f t="shared" si="45"/>
        <v>47626</v>
      </c>
      <c r="AA117" s="4">
        <v>31</v>
      </c>
      <c r="AB117" s="46">
        <f t="shared" si="46"/>
        <v>58949</v>
      </c>
      <c r="AC117" s="1" t="s">
        <v>943</v>
      </c>
      <c r="AD117" s="1" t="s">
        <v>944</v>
      </c>
      <c r="AE117" s="1" t="s">
        <v>945</v>
      </c>
      <c r="AF117" s="1" t="s">
        <v>946</v>
      </c>
      <c r="AI117" s="47"/>
      <c r="AU117" s="36">
        <v>16</v>
      </c>
      <c r="AX117" s="1">
        <v>8</v>
      </c>
      <c r="AY117" s="1">
        <v>8</v>
      </c>
      <c r="BR117" s="52">
        <v>2086154</v>
      </c>
      <c r="BS117" s="52" t="e">
        <f>VLOOKUP(M117,#REF!,2,TRUE)*(BR117/1000000)</f>
        <v>#REF!</v>
      </c>
      <c r="BT117" s="43" t="e">
        <f>VLOOKUP(M117,#REF!,3,TRUE)*(BR117/1000000)</f>
        <v>#REF!</v>
      </c>
    </row>
    <row r="118" spans="1:72" s="71" customFormat="1" ht="15" customHeight="1" x14ac:dyDescent="0.25">
      <c r="A118" s="7">
        <v>41960</v>
      </c>
      <c r="B118" s="11">
        <v>2015</v>
      </c>
      <c r="C118" s="11" t="s">
        <v>1014</v>
      </c>
      <c r="D118" s="71" t="s">
        <v>1537</v>
      </c>
      <c r="E118" s="71" t="s">
        <v>1609</v>
      </c>
      <c r="F118" s="71" t="s">
        <v>65</v>
      </c>
      <c r="G118" s="12">
        <v>59405</v>
      </c>
      <c r="H118" s="39">
        <v>47.489989999999999</v>
      </c>
      <c r="I118" s="39">
        <v>-111.25415</v>
      </c>
      <c r="J118" s="71" t="s">
        <v>308</v>
      </c>
      <c r="K118" s="89">
        <v>0.09</v>
      </c>
      <c r="L118" s="11" t="s">
        <v>440</v>
      </c>
      <c r="M118" s="71" t="s">
        <v>1169</v>
      </c>
      <c r="N118" s="11" t="s">
        <v>746</v>
      </c>
      <c r="O118" s="76">
        <v>16</v>
      </c>
      <c r="P118" s="76">
        <v>1</v>
      </c>
      <c r="Q118" s="77">
        <v>2451830</v>
      </c>
      <c r="R118" s="77">
        <v>2230942</v>
      </c>
      <c r="S118" s="77"/>
      <c r="T118" s="77"/>
      <c r="U118" s="79"/>
      <c r="V118" s="80"/>
      <c r="W118" s="7">
        <v>42577</v>
      </c>
      <c r="X118" s="7"/>
      <c r="Y118" s="8">
        <f t="shared" si="44"/>
        <v>42577</v>
      </c>
      <c r="Z118" s="46">
        <f t="shared" si="45"/>
        <v>47690</v>
      </c>
      <c r="AA118" s="3">
        <v>31</v>
      </c>
      <c r="AB118" s="83">
        <f t="shared" si="46"/>
        <v>59013</v>
      </c>
      <c r="AC118" s="71" t="s">
        <v>939</v>
      </c>
      <c r="AD118" s="71" t="s">
        <v>940</v>
      </c>
      <c r="AE118" s="71" t="s">
        <v>941</v>
      </c>
      <c r="AF118" s="71" t="s">
        <v>942</v>
      </c>
      <c r="AH118" s="11"/>
      <c r="AI118" s="47"/>
      <c r="AT118" s="90"/>
      <c r="AU118" s="11">
        <v>16</v>
      </c>
      <c r="AX118" s="71">
        <v>8</v>
      </c>
      <c r="AY118" s="71">
        <v>8</v>
      </c>
      <c r="BF118" s="11"/>
      <c r="BG118" s="11"/>
      <c r="BH118" s="11"/>
      <c r="BI118" s="11"/>
      <c r="BJ118" s="11"/>
      <c r="BK118" s="11"/>
      <c r="BL118" s="11"/>
      <c r="BM118" s="11"/>
      <c r="BN118" s="11"/>
      <c r="BR118" s="52">
        <v>2926967</v>
      </c>
      <c r="BS118" s="52" t="e">
        <f>VLOOKUP(M118,#REF!,2,TRUE)*(BR118/1000000)</f>
        <v>#REF!</v>
      </c>
      <c r="BT118" s="43" t="e">
        <f>VLOOKUP(M118,#REF!,3,TRUE)*(BR118/1000000)</f>
        <v>#REF!</v>
      </c>
    </row>
    <row r="119" spans="1:72" s="93" customFormat="1" ht="15" customHeight="1" x14ac:dyDescent="0.25">
      <c r="A119" s="8">
        <v>41960</v>
      </c>
      <c r="B119" s="36">
        <v>2015</v>
      </c>
      <c r="C119" s="36" t="s">
        <v>1014</v>
      </c>
      <c r="D119" s="1" t="s">
        <v>880</v>
      </c>
      <c r="E119" s="1" t="s">
        <v>1442</v>
      </c>
      <c r="F119" s="1" t="s">
        <v>760</v>
      </c>
      <c r="G119" s="38">
        <v>59501</v>
      </c>
      <c r="H119" s="39">
        <v>48.529654999999998</v>
      </c>
      <c r="I119" s="39">
        <v>-109.679755</v>
      </c>
      <c r="J119" s="1" t="s">
        <v>896</v>
      </c>
      <c r="K119" s="40">
        <v>0.09</v>
      </c>
      <c r="L119" s="36" t="s">
        <v>440</v>
      </c>
      <c r="M119" s="1" t="s">
        <v>1169</v>
      </c>
      <c r="N119" s="36" t="s">
        <v>45</v>
      </c>
      <c r="O119" s="41">
        <v>30</v>
      </c>
      <c r="P119" s="41">
        <v>7</v>
      </c>
      <c r="Q119" s="42">
        <v>5687500</v>
      </c>
      <c r="R119" s="42">
        <v>5118238</v>
      </c>
      <c r="S119" s="42"/>
      <c r="T119" s="42"/>
      <c r="U119" s="53"/>
      <c r="V119" s="45"/>
      <c r="W119" s="8">
        <v>42763</v>
      </c>
      <c r="X119" s="8"/>
      <c r="Y119" s="8">
        <f t="shared" si="44"/>
        <v>42763</v>
      </c>
      <c r="Z119" s="46">
        <f t="shared" si="45"/>
        <v>47876</v>
      </c>
      <c r="AA119" s="4">
        <v>31</v>
      </c>
      <c r="AB119" s="46">
        <f t="shared" si="46"/>
        <v>59199</v>
      </c>
      <c r="AC119" s="1" t="s">
        <v>937</v>
      </c>
      <c r="AD119" s="1" t="s">
        <v>762</v>
      </c>
      <c r="AE119" s="1" t="s">
        <v>938</v>
      </c>
      <c r="AF119" s="1" t="s">
        <v>936</v>
      </c>
      <c r="AG119" s="1"/>
      <c r="AH119" s="36"/>
      <c r="AI119" s="47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56"/>
      <c r="AU119" s="36">
        <v>30</v>
      </c>
      <c r="AV119" s="1"/>
      <c r="AW119" s="1"/>
      <c r="AX119" s="1">
        <v>20</v>
      </c>
      <c r="AY119" s="1">
        <v>10</v>
      </c>
      <c r="AZ119" s="1"/>
      <c r="BA119" s="1"/>
      <c r="BB119" s="1"/>
      <c r="BC119" s="1"/>
      <c r="BD119" s="1"/>
      <c r="BE119" s="1"/>
      <c r="BF119" s="92"/>
      <c r="BG119" s="92"/>
      <c r="BH119" s="92"/>
      <c r="BI119" s="92"/>
      <c r="BJ119" s="92"/>
      <c r="BK119" s="92"/>
      <c r="BL119" s="92"/>
      <c r="BM119" s="92"/>
      <c r="BN119" s="92"/>
      <c r="BR119" s="52">
        <v>6838948</v>
      </c>
      <c r="BS119" s="52" t="e">
        <f>VLOOKUP(M119,#REF!,2,TRUE)*(BR119/1000000)</f>
        <v>#REF!</v>
      </c>
      <c r="BT119" s="43" t="e">
        <f>VLOOKUP(M119,#REF!,3,TRUE)*(BR119/1000000)</f>
        <v>#REF!</v>
      </c>
    </row>
    <row r="120" spans="1:72" ht="15" customHeight="1" x14ac:dyDescent="0.25">
      <c r="A120" s="8">
        <v>41668</v>
      </c>
      <c r="B120" s="36">
        <v>2014</v>
      </c>
      <c r="C120" s="36" t="s">
        <v>1014</v>
      </c>
      <c r="D120" s="1" t="s">
        <v>1855</v>
      </c>
      <c r="E120" s="1" t="s">
        <v>1601</v>
      </c>
      <c r="F120" s="1" t="s">
        <v>862</v>
      </c>
      <c r="G120" s="38">
        <v>59521</v>
      </c>
      <c r="H120" s="39">
        <v>48.300483</v>
      </c>
      <c r="I120" s="39">
        <v>-109.800667</v>
      </c>
      <c r="J120" s="1" t="s">
        <v>303</v>
      </c>
      <c r="K120" s="40">
        <v>0.09</v>
      </c>
      <c r="L120" s="36" t="s">
        <v>454</v>
      </c>
      <c r="M120" s="1" t="s">
        <v>307</v>
      </c>
      <c r="N120" s="36" t="s">
        <v>45</v>
      </c>
      <c r="O120" s="41">
        <v>33</v>
      </c>
      <c r="P120" s="36">
        <v>33</v>
      </c>
      <c r="Q120" s="42">
        <v>4889660</v>
      </c>
      <c r="R120" s="42">
        <v>4165573</v>
      </c>
      <c r="S120" s="42"/>
      <c r="T120" s="42"/>
      <c r="W120" s="8">
        <v>41964</v>
      </c>
      <c r="Y120" s="8">
        <f t="shared" si="44"/>
        <v>41964</v>
      </c>
      <c r="Z120" s="46">
        <f t="shared" si="45"/>
        <v>47078</v>
      </c>
      <c r="AA120" s="4">
        <v>31</v>
      </c>
      <c r="AB120" s="46">
        <f t="shared" si="46"/>
        <v>58400</v>
      </c>
      <c r="AC120" s="1" t="s">
        <v>863</v>
      </c>
      <c r="AD120" s="1" t="s">
        <v>864</v>
      </c>
      <c r="AE120" s="1" t="s">
        <v>865</v>
      </c>
      <c r="AF120" s="1" t="s">
        <v>862</v>
      </c>
      <c r="AG120" s="1" t="s">
        <v>472</v>
      </c>
      <c r="AH120" s="36">
        <v>59521</v>
      </c>
      <c r="AI120" s="47"/>
      <c r="AJ120" s="1" t="s">
        <v>866</v>
      </c>
      <c r="AU120" s="36">
        <f>SUM(AV120:BB120)</f>
        <v>33</v>
      </c>
      <c r="AZ120" s="1">
        <v>12</v>
      </c>
      <c r="BA120" s="1">
        <v>16</v>
      </c>
      <c r="BB120" s="1">
        <v>5</v>
      </c>
      <c r="BF120" s="36" t="s">
        <v>1756</v>
      </c>
      <c r="BI120" s="36">
        <v>4</v>
      </c>
      <c r="BJ120" s="36">
        <v>21</v>
      </c>
      <c r="BK120" s="36">
        <v>8</v>
      </c>
      <c r="BP120" s="1">
        <f>SUM(BH120:BO120)</f>
        <v>33</v>
      </c>
      <c r="BR120" s="52">
        <v>6584680</v>
      </c>
      <c r="BS120" s="52" t="e">
        <f>VLOOKUP(M120,#REF!,2,TRUE)*(BR120/1000000)</f>
        <v>#REF!</v>
      </c>
      <c r="BT120" s="43" t="e">
        <f>VLOOKUP(M120,#REF!,3,TRUE)*(BR120/1000000)</f>
        <v>#REF!</v>
      </c>
    </row>
    <row r="121" spans="1:72" ht="15" customHeight="1" x14ac:dyDescent="0.25">
      <c r="A121" s="8">
        <v>41668</v>
      </c>
      <c r="B121" s="36">
        <v>2014</v>
      </c>
      <c r="C121" s="36" t="s">
        <v>1014</v>
      </c>
      <c r="D121" s="1" t="s">
        <v>856</v>
      </c>
      <c r="E121" s="1" t="s">
        <v>1605</v>
      </c>
      <c r="F121" s="1" t="s">
        <v>857</v>
      </c>
      <c r="G121" s="38">
        <v>59538</v>
      </c>
      <c r="H121" s="39">
        <v>48.354694000000002</v>
      </c>
      <c r="I121" s="39">
        <v>-107.879105</v>
      </c>
      <c r="J121" s="1" t="s">
        <v>858</v>
      </c>
      <c r="K121" s="40">
        <v>0.09</v>
      </c>
      <c r="L121" s="36" t="s">
        <v>440</v>
      </c>
      <c r="M121" s="1" t="s">
        <v>307</v>
      </c>
      <c r="N121" s="36" t="s">
        <v>45</v>
      </c>
      <c r="O121" s="41">
        <v>32</v>
      </c>
      <c r="P121" s="36">
        <v>33</v>
      </c>
      <c r="Q121" s="42">
        <v>2533900</v>
      </c>
      <c r="R121" s="42">
        <v>2052456</v>
      </c>
      <c r="S121" s="42"/>
      <c r="T121" s="42"/>
      <c r="W121" s="8">
        <v>41990</v>
      </c>
      <c r="Y121" s="8">
        <f t="shared" si="44"/>
        <v>41990</v>
      </c>
      <c r="Z121" s="46">
        <f t="shared" si="45"/>
        <v>47104</v>
      </c>
      <c r="AA121" s="4">
        <v>31</v>
      </c>
      <c r="AB121" s="46">
        <f t="shared" si="46"/>
        <v>58426</v>
      </c>
      <c r="AC121" s="1" t="s">
        <v>859</v>
      </c>
      <c r="AD121" s="1" t="s">
        <v>791</v>
      </c>
      <c r="AE121" s="1" t="s">
        <v>860</v>
      </c>
      <c r="AF121" s="1" t="s">
        <v>793</v>
      </c>
      <c r="AG121" s="1" t="s">
        <v>474</v>
      </c>
      <c r="AH121" s="36">
        <v>98101</v>
      </c>
      <c r="AI121" s="47"/>
      <c r="AJ121" s="1" t="s">
        <v>794</v>
      </c>
      <c r="AU121" s="36">
        <v>31</v>
      </c>
      <c r="AY121" s="1">
        <v>20</v>
      </c>
      <c r="AZ121" s="1">
        <v>11</v>
      </c>
      <c r="BR121" s="52">
        <v>3790997</v>
      </c>
      <c r="BS121" s="52" t="e">
        <f>VLOOKUP(M121,#REF!,2,TRUE)*(BR121/1000000)</f>
        <v>#REF!</v>
      </c>
      <c r="BT121" s="43" t="e">
        <f>VLOOKUP(M121,#REF!,3,TRUE)*(BR121/1000000)</f>
        <v>#REF!</v>
      </c>
    </row>
    <row r="122" spans="1:72" ht="15" customHeight="1" x14ac:dyDescent="0.25">
      <c r="A122" s="8">
        <v>41617</v>
      </c>
      <c r="B122" s="36">
        <v>2014</v>
      </c>
      <c r="C122" s="36" t="s">
        <v>1014</v>
      </c>
      <c r="D122" s="1" t="s">
        <v>836</v>
      </c>
      <c r="E122" s="1" t="s">
        <v>915</v>
      </c>
      <c r="F122" s="1" t="s">
        <v>65</v>
      </c>
      <c r="G122" s="38">
        <v>59404</v>
      </c>
      <c r="H122" s="39">
        <v>47.521982000000001</v>
      </c>
      <c r="I122" s="39">
        <v>-111.311188</v>
      </c>
      <c r="J122" s="1" t="s">
        <v>308</v>
      </c>
      <c r="K122" s="40">
        <v>0.09</v>
      </c>
      <c r="L122" s="36" t="s">
        <v>84</v>
      </c>
      <c r="M122" s="1" t="s">
        <v>1169</v>
      </c>
      <c r="N122" s="36" t="s">
        <v>749</v>
      </c>
      <c r="O122" s="104">
        <v>38</v>
      </c>
      <c r="P122" s="36">
        <v>1</v>
      </c>
      <c r="Q122" s="105">
        <v>6475000</v>
      </c>
      <c r="R122" s="105">
        <v>6344866</v>
      </c>
      <c r="S122" s="105"/>
      <c r="T122" s="105"/>
      <c r="U122" s="106"/>
      <c r="V122" s="107"/>
      <c r="W122" s="8">
        <v>42542</v>
      </c>
      <c r="Y122" s="8">
        <f t="shared" si="44"/>
        <v>42542</v>
      </c>
      <c r="Z122" s="46">
        <f t="shared" si="45"/>
        <v>47655</v>
      </c>
      <c r="AA122" s="4">
        <v>31</v>
      </c>
      <c r="AB122" s="46">
        <f t="shared" si="46"/>
        <v>58978</v>
      </c>
      <c r="AC122" s="1" t="s">
        <v>851</v>
      </c>
      <c r="AD122" s="1" t="s">
        <v>852</v>
      </c>
      <c r="AE122" s="1" t="s">
        <v>853</v>
      </c>
      <c r="AF122" s="1" t="s">
        <v>854</v>
      </c>
      <c r="AG122" s="1" t="s">
        <v>477</v>
      </c>
      <c r="AH122" s="36">
        <v>55114</v>
      </c>
      <c r="AI122" s="47"/>
      <c r="AJ122" s="1" t="s">
        <v>855</v>
      </c>
      <c r="AU122" s="36">
        <v>38</v>
      </c>
      <c r="AX122" s="1">
        <v>24</v>
      </c>
      <c r="AY122" s="1">
        <v>14</v>
      </c>
      <c r="BR122" s="52">
        <v>8225300</v>
      </c>
      <c r="BS122" s="52" t="e">
        <f>VLOOKUP(M122,#REF!,2,TRUE)*(BR122/1000000)</f>
        <v>#REF!</v>
      </c>
      <c r="BT122" s="43" t="e">
        <f>VLOOKUP(M122,#REF!,3,TRUE)*(BR122/1000000)</f>
        <v>#REF!</v>
      </c>
    </row>
    <row r="123" spans="1:72" ht="15" customHeight="1" x14ac:dyDescent="0.25">
      <c r="A123" s="8">
        <v>41617</v>
      </c>
      <c r="B123" s="36">
        <v>2014</v>
      </c>
      <c r="C123" s="36" t="s">
        <v>1014</v>
      </c>
      <c r="D123" s="1" t="s">
        <v>835</v>
      </c>
      <c r="E123" s="1" t="s">
        <v>1606</v>
      </c>
      <c r="F123" s="1" t="s">
        <v>784</v>
      </c>
      <c r="G123" s="38">
        <v>59270</v>
      </c>
      <c r="H123" s="39">
        <v>47.712127000000002</v>
      </c>
      <c r="I123" s="39">
        <v>-104.16939000000001</v>
      </c>
      <c r="J123" s="1" t="s">
        <v>786</v>
      </c>
      <c r="K123" s="40">
        <v>0.09</v>
      </c>
      <c r="L123" s="36" t="s">
        <v>84</v>
      </c>
      <c r="M123" s="1" t="s">
        <v>1169</v>
      </c>
      <c r="N123" s="36" t="s">
        <v>45</v>
      </c>
      <c r="O123" s="41">
        <v>36</v>
      </c>
      <c r="P123" s="36">
        <v>3</v>
      </c>
      <c r="Q123" s="42">
        <v>5407410</v>
      </c>
      <c r="R123" s="42">
        <v>4809711</v>
      </c>
      <c r="S123" s="42"/>
      <c r="T123" s="42"/>
      <c r="W123" s="8">
        <v>42482</v>
      </c>
      <c r="Y123" s="8">
        <f t="shared" si="44"/>
        <v>42482</v>
      </c>
      <c r="Z123" s="46">
        <f t="shared" si="45"/>
        <v>47595</v>
      </c>
      <c r="AA123" s="4">
        <v>45</v>
      </c>
      <c r="AB123" s="46">
        <f t="shared" si="46"/>
        <v>64031</v>
      </c>
      <c r="AC123" s="1" t="s">
        <v>847</v>
      </c>
      <c r="AD123" s="1" t="s">
        <v>827</v>
      </c>
      <c r="AE123" s="1" t="s">
        <v>848</v>
      </c>
      <c r="AF123" s="1" t="s">
        <v>849</v>
      </c>
      <c r="AG123" s="1" t="s">
        <v>472</v>
      </c>
      <c r="AH123" s="36">
        <v>59270</v>
      </c>
      <c r="AI123" s="47"/>
      <c r="AJ123" s="1" t="s">
        <v>850</v>
      </c>
      <c r="AU123" s="36">
        <v>36</v>
      </c>
      <c r="AX123" s="1">
        <v>6</v>
      </c>
      <c r="AY123" s="1">
        <v>15</v>
      </c>
      <c r="AZ123" s="1">
        <v>12</v>
      </c>
      <c r="BA123" s="1">
        <v>3</v>
      </c>
      <c r="BR123" s="52">
        <v>6913024</v>
      </c>
      <c r="BS123" s="52" t="e">
        <f>VLOOKUP(M123,#REF!,2,TRUE)*(BR123/1000000)</f>
        <v>#REF!</v>
      </c>
      <c r="BT123" s="43" t="e">
        <f>VLOOKUP(M123,#REF!,3,TRUE)*(BR123/1000000)</f>
        <v>#REF!</v>
      </c>
    </row>
    <row r="124" spans="1:72" ht="15" customHeight="1" x14ac:dyDescent="0.25">
      <c r="A124" s="8">
        <v>41617</v>
      </c>
      <c r="B124" s="36">
        <v>2014</v>
      </c>
      <c r="C124" s="36" t="s">
        <v>1014</v>
      </c>
      <c r="D124" s="1" t="s">
        <v>879</v>
      </c>
      <c r="E124" s="1" t="s">
        <v>890</v>
      </c>
      <c r="F124" s="1" t="s">
        <v>838</v>
      </c>
      <c r="G124" s="38">
        <v>59330</v>
      </c>
      <c r="H124" s="39">
        <v>47.127434999999998</v>
      </c>
      <c r="I124" s="39">
        <v>-104.692582</v>
      </c>
      <c r="J124" s="1" t="s">
        <v>206</v>
      </c>
      <c r="K124" s="40">
        <v>0.09</v>
      </c>
      <c r="L124" s="36" t="s">
        <v>84</v>
      </c>
      <c r="M124" s="1" t="s">
        <v>1169</v>
      </c>
      <c r="N124" s="36" t="s">
        <v>45</v>
      </c>
      <c r="O124" s="41">
        <v>28</v>
      </c>
      <c r="P124" s="36">
        <v>3</v>
      </c>
      <c r="Q124" s="42">
        <v>5000000</v>
      </c>
      <c r="R124" s="42">
        <v>4599080</v>
      </c>
      <c r="S124" s="42"/>
      <c r="T124" s="42"/>
      <c r="W124" s="8">
        <v>42152</v>
      </c>
      <c r="Y124" s="8">
        <f t="shared" si="44"/>
        <v>42152</v>
      </c>
      <c r="Z124" s="46">
        <f t="shared" si="45"/>
        <v>47266</v>
      </c>
      <c r="AA124" s="4">
        <v>46</v>
      </c>
      <c r="AB124" s="46">
        <f t="shared" si="46"/>
        <v>64067</v>
      </c>
      <c r="AC124" s="1" t="s">
        <v>843</v>
      </c>
      <c r="AD124" s="1" t="s">
        <v>844</v>
      </c>
      <c r="AE124" s="1" t="s">
        <v>845</v>
      </c>
      <c r="AF124" s="1" t="s">
        <v>73</v>
      </c>
      <c r="AG124" s="1" t="s">
        <v>472</v>
      </c>
      <c r="AH124" s="36">
        <v>59803</v>
      </c>
      <c r="AI124" s="47"/>
      <c r="AJ124" s="1" t="s">
        <v>846</v>
      </c>
      <c r="AU124" s="36">
        <v>27</v>
      </c>
      <c r="AY124" s="1">
        <v>18</v>
      </c>
      <c r="AZ124" s="1">
        <v>9</v>
      </c>
      <c r="BR124" s="52">
        <v>5633554</v>
      </c>
      <c r="BS124" s="52" t="e">
        <f>VLOOKUP(M124,#REF!,2,TRUE)*(BR124/1000000)</f>
        <v>#REF!</v>
      </c>
      <c r="BT124" s="43" t="e">
        <f>VLOOKUP(M124,#REF!,3,TRUE)*(BR124/1000000)</f>
        <v>#REF!</v>
      </c>
    </row>
    <row r="125" spans="1:72" s="93" customFormat="1" ht="15" customHeight="1" x14ac:dyDescent="0.25">
      <c r="A125" s="8">
        <v>41617</v>
      </c>
      <c r="B125" s="36">
        <v>2014</v>
      </c>
      <c r="C125" s="36" t="s">
        <v>1014</v>
      </c>
      <c r="D125" s="1" t="s">
        <v>834</v>
      </c>
      <c r="E125" s="1" t="s">
        <v>891</v>
      </c>
      <c r="F125" s="1" t="s">
        <v>837</v>
      </c>
      <c r="G125" s="38">
        <v>59022</v>
      </c>
      <c r="H125" s="39">
        <v>45.610370000000003</v>
      </c>
      <c r="I125" s="39">
        <v>-107.46866</v>
      </c>
      <c r="J125" s="1" t="s">
        <v>420</v>
      </c>
      <c r="K125" s="40">
        <v>0.09</v>
      </c>
      <c r="L125" s="36" t="s">
        <v>454</v>
      </c>
      <c r="M125" s="1" t="s">
        <v>1169</v>
      </c>
      <c r="N125" s="36" t="s">
        <v>45</v>
      </c>
      <c r="O125" s="41">
        <v>15</v>
      </c>
      <c r="P125" s="36">
        <v>1</v>
      </c>
      <c r="Q125" s="42">
        <v>2590000</v>
      </c>
      <c r="R125" s="42">
        <v>2046100</v>
      </c>
      <c r="S125" s="42"/>
      <c r="T125" s="42"/>
      <c r="U125" s="53"/>
      <c r="V125" s="45"/>
      <c r="W125" s="8">
        <v>42216</v>
      </c>
      <c r="X125" s="8"/>
      <c r="Y125" s="8">
        <f t="shared" si="44"/>
        <v>42216</v>
      </c>
      <c r="Z125" s="46">
        <f t="shared" si="45"/>
        <v>47330</v>
      </c>
      <c r="AA125" s="4">
        <v>31</v>
      </c>
      <c r="AB125" s="46">
        <f t="shared" si="46"/>
        <v>58653</v>
      </c>
      <c r="AC125" s="1" t="s">
        <v>839</v>
      </c>
      <c r="AD125" s="1" t="s">
        <v>840</v>
      </c>
      <c r="AE125" s="1" t="s">
        <v>841</v>
      </c>
      <c r="AF125" s="1" t="s">
        <v>837</v>
      </c>
      <c r="AG125" s="1" t="s">
        <v>472</v>
      </c>
      <c r="AH125" s="36">
        <v>59022</v>
      </c>
      <c r="AI125" s="47"/>
      <c r="AJ125" s="1" t="s">
        <v>842</v>
      </c>
      <c r="AK125" s="1"/>
      <c r="AL125" s="1"/>
      <c r="AM125" s="1"/>
      <c r="AN125" s="1"/>
      <c r="AO125" s="1"/>
      <c r="AP125" s="1"/>
      <c r="AQ125" s="1"/>
      <c r="AR125" s="1"/>
      <c r="AS125" s="1"/>
      <c r="AT125" s="56"/>
      <c r="AU125" s="36">
        <v>15</v>
      </c>
      <c r="AV125" s="1"/>
      <c r="AW125" s="1"/>
      <c r="AX125" s="1">
        <v>15</v>
      </c>
      <c r="AY125" s="1"/>
      <c r="AZ125" s="1"/>
      <c r="BA125" s="1"/>
      <c r="BB125" s="1"/>
      <c r="BC125" s="1"/>
      <c r="BD125" s="1"/>
      <c r="BE125" s="1"/>
      <c r="BF125" s="92"/>
      <c r="BG125" s="92"/>
      <c r="BH125" s="92"/>
      <c r="BI125" s="92"/>
      <c r="BJ125" s="92"/>
      <c r="BK125" s="92"/>
      <c r="BL125" s="92"/>
      <c r="BM125" s="92"/>
      <c r="BN125" s="92"/>
      <c r="BR125" s="52">
        <v>3226911</v>
      </c>
      <c r="BS125" s="52" t="e">
        <f>VLOOKUP(M125,#REF!,2,TRUE)*(BR125/1000000)</f>
        <v>#REF!</v>
      </c>
      <c r="BT125" s="43" t="e">
        <f>VLOOKUP(M125,#REF!,3,TRUE)*(BR125/1000000)</f>
        <v>#REF!</v>
      </c>
    </row>
    <row r="126" spans="1:72" ht="15" customHeight="1" x14ac:dyDescent="0.25">
      <c r="A126" s="8">
        <v>41387</v>
      </c>
      <c r="B126" s="36">
        <v>2013</v>
      </c>
      <c r="C126" s="36" t="s">
        <v>1014</v>
      </c>
      <c r="D126" s="1" t="s">
        <v>1008</v>
      </c>
      <c r="E126" s="1" t="s">
        <v>175</v>
      </c>
      <c r="F126" s="1" t="s">
        <v>338</v>
      </c>
      <c r="G126" s="38">
        <v>59801</v>
      </c>
      <c r="J126" s="1" t="s">
        <v>338</v>
      </c>
      <c r="K126" s="40">
        <v>0.09</v>
      </c>
      <c r="L126" s="36" t="s">
        <v>84</v>
      </c>
      <c r="M126" s="1" t="s">
        <v>1169</v>
      </c>
      <c r="N126" s="36" t="s">
        <v>746</v>
      </c>
      <c r="O126" s="41">
        <v>36</v>
      </c>
      <c r="P126" s="36">
        <v>1</v>
      </c>
      <c r="Q126" s="42">
        <v>5750000</v>
      </c>
      <c r="R126" s="42">
        <v>4800770</v>
      </c>
      <c r="S126" s="42"/>
      <c r="T126" s="42"/>
      <c r="W126" s="8">
        <v>41933</v>
      </c>
      <c r="Y126" s="8">
        <f t="shared" si="44"/>
        <v>41933</v>
      </c>
      <c r="Z126" s="46">
        <f t="shared" si="45"/>
        <v>47047</v>
      </c>
      <c r="AA126" s="4">
        <v>15</v>
      </c>
      <c r="AB126" s="46">
        <f t="shared" si="46"/>
        <v>52525</v>
      </c>
      <c r="AC126" s="1" t="s">
        <v>873</v>
      </c>
      <c r="AD126" s="1" t="s">
        <v>844</v>
      </c>
      <c r="AE126" s="1" t="s">
        <v>874</v>
      </c>
      <c r="AF126" s="1" t="s">
        <v>338</v>
      </c>
      <c r="AG126" s="1" t="s">
        <v>472</v>
      </c>
      <c r="AH126" s="36">
        <v>59801</v>
      </c>
      <c r="AI126" s="47"/>
      <c r="AJ126" s="1" t="s">
        <v>55</v>
      </c>
      <c r="AU126" s="41">
        <v>36</v>
      </c>
      <c r="AX126" s="1">
        <v>24</v>
      </c>
      <c r="AY126" s="1">
        <v>12</v>
      </c>
      <c r="BR126" s="52">
        <v>5740436</v>
      </c>
      <c r="BS126" s="52" t="e">
        <f>VLOOKUP(M126,#REF!,2,TRUE)*(BR126/1000000)</f>
        <v>#REF!</v>
      </c>
      <c r="BT126" s="43" t="e">
        <f>VLOOKUP(M126,#REF!,3,TRUE)*(BR126/1000000)</f>
        <v>#REF!</v>
      </c>
    </row>
    <row r="127" spans="1:72" ht="15" customHeight="1" x14ac:dyDescent="0.25">
      <c r="A127" s="8">
        <v>40887</v>
      </c>
      <c r="B127" s="36">
        <v>2013</v>
      </c>
      <c r="C127" s="36" t="s">
        <v>1014</v>
      </c>
      <c r="D127" s="1" t="s">
        <v>1126</v>
      </c>
      <c r="E127" s="1" t="s">
        <v>1127</v>
      </c>
      <c r="F127" s="1" t="s">
        <v>887</v>
      </c>
      <c r="G127" s="38">
        <v>59601</v>
      </c>
      <c r="J127" s="37" t="s">
        <v>913</v>
      </c>
      <c r="K127" s="40">
        <v>0.09</v>
      </c>
      <c r="L127" s="36" t="s">
        <v>426</v>
      </c>
      <c r="M127" s="1" t="s">
        <v>1169</v>
      </c>
      <c r="N127" s="36" t="s">
        <v>749</v>
      </c>
      <c r="O127" s="41">
        <v>32</v>
      </c>
      <c r="P127" s="36">
        <v>11</v>
      </c>
      <c r="Q127" s="42">
        <v>6162500</v>
      </c>
      <c r="R127" s="108">
        <v>4964327</v>
      </c>
      <c r="S127" s="108"/>
      <c r="T127" s="108"/>
      <c r="U127" s="109"/>
      <c r="V127" s="110"/>
      <c r="W127" s="8">
        <v>41494</v>
      </c>
      <c r="Y127" s="8">
        <f t="shared" si="44"/>
        <v>41494</v>
      </c>
      <c r="Z127" s="46">
        <f t="shared" si="45"/>
        <v>46607</v>
      </c>
      <c r="AA127" s="4">
        <v>31</v>
      </c>
      <c r="AB127" s="46">
        <f t="shared" si="46"/>
        <v>57930</v>
      </c>
      <c r="AC127" s="1" t="s">
        <v>735</v>
      </c>
      <c r="AD127" s="1" t="s">
        <v>520</v>
      </c>
      <c r="AE127" s="1" t="s">
        <v>215</v>
      </c>
      <c r="AF127" s="1" t="s">
        <v>15</v>
      </c>
      <c r="AG127" s="1" t="s">
        <v>472</v>
      </c>
      <c r="AH127" s="36">
        <v>59623</v>
      </c>
      <c r="AI127" s="47"/>
      <c r="AJ127" s="1" t="s">
        <v>580</v>
      </c>
      <c r="AT127" s="112"/>
      <c r="AU127" s="113">
        <v>32</v>
      </c>
      <c r="AX127" s="113">
        <v>27</v>
      </c>
      <c r="AY127" s="113">
        <v>5</v>
      </c>
      <c r="BR127" s="52">
        <v>6126608</v>
      </c>
      <c r="BS127" s="52" t="e">
        <f>VLOOKUP(M127,#REF!,2,TRUE)*(BR127/1000000)</f>
        <v>#REF!</v>
      </c>
      <c r="BT127" s="43" t="e">
        <f>VLOOKUP(M127,#REF!,3,TRUE)*(BR127/1000000)</f>
        <v>#REF!</v>
      </c>
    </row>
    <row r="128" spans="1:72" s="93" customFormat="1" ht="15" customHeight="1" x14ac:dyDescent="0.25">
      <c r="A128" s="8">
        <v>41018</v>
      </c>
      <c r="B128" s="36">
        <v>2013</v>
      </c>
      <c r="C128" s="36" t="s">
        <v>1014</v>
      </c>
      <c r="D128" s="1" t="s">
        <v>779</v>
      </c>
      <c r="E128" s="1" t="s">
        <v>1441</v>
      </c>
      <c r="F128" s="1" t="s">
        <v>65</v>
      </c>
      <c r="G128" s="38">
        <v>59405</v>
      </c>
      <c r="H128" s="39"/>
      <c r="I128" s="39"/>
      <c r="J128" s="1" t="s">
        <v>308</v>
      </c>
      <c r="K128" s="40">
        <v>0.09</v>
      </c>
      <c r="L128" s="36" t="s">
        <v>84</v>
      </c>
      <c r="M128" s="1" t="s">
        <v>307</v>
      </c>
      <c r="N128" s="36" t="s">
        <v>746</v>
      </c>
      <c r="O128" s="41">
        <v>50</v>
      </c>
      <c r="P128" s="36">
        <v>3</v>
      </c>
      <c r="Q128" s="108">
        <v>5380000</v>
      </c>
      <c r="R128" s="108">
        <v>4914096</v>
      </c>
      <c r="S128" s="108"/>
      <c r="T128" s="108"/>
      <c r="U128" s="109"/>
      <c r="V128" s="110"/>
      <c r="W128" s="8">
        <v>41640</v>
      </c>
      <c r="X128" s="8"/>
      <c r="Y128" s="8">
        <f t="shared" si="44"/>
        <v>41640</v>
      </c>
      <c r="Z128" s="46">
        <f t="shared" si="45"/>
        <v>46753</v>
      </c>
      <c r="AA128" s="4">
        <v>31</v>
      </c>
      <c r="AB128" s="46">
        <f t="shared" si="46"/>
        <v>58076</v>
      </c>
      <c r="AC128" s="1" t="s">
        <v>819</v>
      </c>
      <c r="AD128" s="1" t="s">
        <v>820</v>
      </c>
      <c r="AE128" s="1" t="s">
        <v>821</v>
      </c>
      <c r="AF128" s="1" t="s">
        <v>65</v>
      </c>
      <c r="AG128" s="1" t="s">
        <v>472</v>
      </c>
      <c r="AH128" s="36">
        <v>59403</v>
      </c>
      <c r="AI128" s="47"/>
      <c r="AJ128" s="1" t="s">
        <v>822</v>
      </c>
      <c r="AK128" s="1"/>
      <c r="AL128" s="1"/>
      <c r="AM128" s="1"/>
      <c r="AN128" s="1"/>
      <c r="AO128" s="1"/>
      <c r="AP128" s="1"/>
      <c r="AQ128" s="1"/>
      <c r="AR128" s="1"/>
      <c r="AS128" s="1"/>
      <c r="AT128" s="56"/>
      <c r="AU128" s="36">
        <v>56</v>
      </c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92"/>
      <c r="BG128" s="92"/>
      <c r="BH128" s="92"/>
      <c r="BI128" s="92"/>
      <c r="BJ128" s="92"/>
      <c r="BK128" s="92"/>
      <c r="BL128" s="92"/>
      <c r="BM128" s="92"/>
      <c r="BN128" s="92"/>
      <c r="BR128" s="52">
        <v>6869041</v>
      </c>
      <c r="BS128" s="52" t="e">
        <f>VLOOKUP(M128,#REF!,2,TRUE)*(BR128/1000000)</f>
        <v>#REF!</v>
      </c>
      <c r="BT128" s="43" t="e">
        <f>VLOOKUP(M128,#REF!,3,TRUE)*(BR128/1000000)</f>
        <v>#REF!</v>
      </c>
    </row>
    <row r="129" spans="1:72" ht="15" customHeight="1" x14ac:dyDescent="0.25">
      <c r="A129" s="8">
        <v>41018</v>
      </c>
      <c r="B129" s="36">
        <v>2013</v>
      </c>
      <c r="C129" s="36" t="s">
        <v>1014</v>
      </c>
      <c r="D129" s="1" t="s">
        <v>1956</v>
      </c>
      <c r="E129" s="1" t="s">
        <v>1125</v>
      </c>
      <c r="F129" s="1" t="s">
        <v>133</v>
      </c>
      <c r="G129" s="38">
        <v>59417</v>
      </c>
      <c r="J129" s="1" t="s">
        <v>361</v>
      </c>
      <c r="K129" s="40">
        <v>0.09</v>
      </c>
      <c r="L129" s="36" t="s">
        <v>454</v>
      </c>
      <c r="M129" s="1" t="s">
        <v>1169</v>
      </c>
      <c r="N129" s="36" t="s">
        <v>45</v>
      </c>
      <c r="O129" s="41">
        <v>24</v>
      </c>
      <c r="P129" s="36">
        <v>24</v>
      </c>
      <c r="Q129" s="108">
        <v>6312250</v>
      </c>
      <c r="R129" s="108">
        <v>5023534</v>
      </c>
      <c r="S129" s="108"/>
      <c r="T129" s="108"/>
      <c r="U129" s="109"/>
      <c r="V129" s="110"/>
      <c r="W129" s="8">
        <v>41699</v>
      </c>
      <c r="Y129" s="8">
        <f t="shared" si="44"/>
        <v>41699</v>
      </c>
      <c r="Z129" s="46">
        <f t="shared" si="45"/>
        <v>46813</v>
      </c>
      <c r="AA129" s="4">
        <v>31</v>
      </c>
      <c r="AB129" s="46">
        <f t="shared" si="46"/>
        <v>58135</v>
      </c>
      <c r="AC129" s="1" t="s">
        <v>823</v>
      </c>
      <c r="AD129" s="1" t="s">
        <v>824</v>
      </c>
      <c r="AE129" s="1" t="s">
        <v>825</v>
      </c>
      <c r="AF129" s="1" t="s">
        <v>133</v>
      </c>
      <c r="AG129" s="1" t="s">
        <v>472</v>
      </c>
      <c r="AH129" s="36">
        <v>59417</v>
      </c>
      <c r="AI129" s="47"/>
      <c r="AJ129" s="1" t="s">
        <v>457</v>
      </c>
      <c r="AU129" s="41">
        <v>24</v>
      </c>
      <c r="BR129" s="52">
        <v>5395068</v>
      </c>
      <c r="BS129" s="52" t="e">
        <f>VLOOKUP(M129,#REF!,2,TRUE)*(BR129/1000000)</f>
        <v>#REF!</v>
      </c>
      <c r="BT129" s="43" t="e">
        <f>VLOOKUP(M129,#REF!,3,TRUE)*(BR129/1000000)</f>
        <v>#REF!</v>
      </c>
    </row>
    <row r="130" spans="1:72" ht="15" customHeight="1" x14ac:dyDescent="0.25">
      <c r="A130" s="9">
        <v>41386</v>
      </c>
      <c r="B130" s="92">
        <v>2013</v>
      </c>
      <c r="C130" s="92" t="s">
        <v>1583</v>
      </c>
      <c r="D130" s="93" t="s">
        <v>1594</v>
      </c>
      <c r="E130" s="93" t="s">
        <v>1440</v>
      </c>
      <c r="F130" s="93" t="s">
        <v>812</v>
      </c>
      <c r="G130" s="95">
        <v>59201</v>
      </c>
      <c r="H130" s="114"/>
      <c r="I130" s="114"/>
      <c r="J130" s="93" t="s">
        <v>895</v>
      </c>
      <c r="K130" s="97">
        <v>0.09</v>
      </c>
      <c r="L130" s="92" t="s">
        <v>84</v>
      </c>
      <c r="M130" s="93" t="s">
        <v>1169</v>
      </c>
      <c r="N130" s="92" t="s">
        <v>45</v>
      </c>
      <c r="O130" s="98"/>
      <c r="P130" s="92" t="s">
        <v>419</v>
      </c>
      <c r="Q130" s="99">
        <v>4035990</v>
      </c>
      <c r="R130" s="99"/>
      <c r="S130" s="99"/>
      <c r="T130" s="99"/>
      <c r="U130" s="100"/>
      <c r="V130" s="101"/>
      <c r="Y130" s="8">
        <f t="shared" si="44"/>
        <v>0</v>
      </c>
      <c r="AA130" s="5"/>
      <c r="AC130" s="93" t="s">
        <v>807</v>
      </c>
      <c r="AD130" s="93" t="s">
        <v>808</v>
      </c>
      <c r="AE130" s="93" t="s">
        <v>809</v>
      </c>
      <c r="AF130" s="93" t="s">
        <v>810</v>
      </c>
      <c r="AG130" s="93" t="s">
        <v>473</v>
      </c>
      <c r="AH130" s="92">
        <v>80904</v>
      </c>
      <c r="AI130" s="47"/>
      <c r="AJ130" s="93" t="s">
        <v>811</v>
      </c>
      <c r="AK130" s="93"/>
      <c r="AL130" s="93"/>
      <c r="AM130" s="93"/>
      <c r="AN130" s="93"/>
      <c r="AO130" s="93"/>
      <c r="AP130" s="93"/>
      <c r="AQ130" s="93"/>
      <c r="AR130" s="93"/>
      <c r="AS130" s="93"/>
      <c r="AT130" s="103"/>
      <c r="AU130" s="98"/>
      <c r="AV130" s="93"/>
      <c r="AW130" s="93"/>
      <c r="AX130" s="93"/>
      <c r="AY130" s="93"/>
      <c r="AZ130" s="93"/>
      <c r="BA130" s="93"/>
      <c r="BB130" s="93"/>
      <c r="BC130" s="93"/>
      <c r="BD130" s="93"/>
      <c r="BE130" s="93"/>
      <c r="BR130" s="52">
        <v>4254810</v>
      </c>
      <c r="BS130" s="52" t="e">
        <f>VLOOKUP(M130,#REF!,2,TRUE)*(BR130/1000000)</f>
        <v>#REF!</v>
      </c>
      <c r="BT130" s="43" t="e">
        <f>VLOOKUP(M130,#REF!,3,TRUE)*(BR130/1000000)</f>
        <v>#REF!</v>
      </c>
    </row>
    <row r="131" spans="1:72" ht="15" customHeight="1" x14ac:dyDescent="0.25">
      <c r="A131" s="8">
        <v>41386</v>
      </c>
      <c r="B131" s="36">
        <v>2013</v>
      </c>
      <c r="C131" s="36" t="s">
        <v>1014</v>
      </c>
      <c r="D131" s="1" t="s">
        <v>789</v>
      </c>
      <c r="E131" s="1" t="s">
        <v>1439</v>
      </c>
      <c r="F131" s="1" t="s">
        <v>801</v>
      </c>
      <c r="G131" s="38">
        <v>59255</v>
      </c>
      <c r="J131" s="1" t="s">
        <v>895</v>
      </c>
      <c r="K131" s="40">
        <v>0.09</v>
      </c>
      <c r="L131" s="36" t="s">
        <v>454</v>
      </c>
      <c r="M131" s="1" t="s">
        <v>1169</v>
      </c>
      <c r="N131" s="36" t="s">
        <v>45</v>
      </c>
      <c r="O131" s="41">
        <v>19</v>
      </c>
      <c r="P131" s="36">
        <v>19</v>
      </c>
      <c r="Q131" s="42">
        <v>6031304</v>
      </c>
      <c r="R131" s="42">
        <v>5040283</v>
      </c>
      <c r="S131" s="42"/>
      <c r="T131" s="42"/>
      <c r="W131" s="8">
        <v>42277</v>
      </c>
      <c r="Y131" s="8">
        <f t="shared" si="44"/>
        <v>42277</v>
      </c>
      <c r="Z131" s="46">
        <f t="shared" si="45"/>
        <v>47391</v>
      </c>
      <c r="AA131" s="4">
        <v>31</v>
      </c>
      <c r="AB131" s="46">
        <f t="shared" ref="AB131:AB144" si="47">DATE(YEAR(Z131)+AA131,MONTH(Z131),DAY(Z131))</f>
        <v>58714</v>
      </c>
      <c r="AC131" s="1" t="s">
        <v>802</v>
      </c>
      <c r="AD131" s="1" t="s">
        <v>803</v>
      </c>
      <c r="AE131" s="1" t="s">
        <v>804</v>
      </c>
      <c r="AF131" s="1" t="s">
        <v>805</v>
      </c>
      <c r="AG131" s="1" t="s">
        <v>472</v>
      </c>
      <c r="AH131" s="36">
        <v>59255</v>
      </c>
      <c r="AI131" s="47"/>
      <c r="AJ131" s="1" t="s">
        <v>806</v>
      </c>
      <c r="AU131" s="41">
        <v>20</v>
      </c>
      <c r="BR131" s="52">
        <v>6031304</v>
      </c>
      <c r="BS131" s="52" t="e">
        <f>VLOOKUP(M131,#REF!,2,TRUE)*(BR131/1000000)</f>
        <v>#REF!</v>
      </c>
      <c r="BT131" s="43" t="e">
        <f>VLOOKUP(M131,#REF!,3,TRUE)*(BR131/1000000)</f>
        <v>#REF!</v>
      </c>
    </row>
    <row r="132" spans="1:72" ht="15" customHeight="1" x14ac:dyDescent="0.25">
      <c r="A132" s="8">
        <v>41386</v>
      </c>
      <c r="B132" s="36">
        <v>2013</v>
      </c>
      <c r="C132" s="36" t="s">
        <v>1014</v>
      </c>
      <c r="D132" s="1" t="s">
        <v>788</v>
      </c>
      <c r="E132" s="1" t="s">
        <v>1438</v>
      </c>
      <c r="F132" s="1" t="s">
        <v>760</v>
      </c>
      <c r="G132" s="38">
        <v>59501</v>
      </c>
      <c r="J132" s="1" t="s">
        <v>303</v>
      </c>
      <c r="K132" s="40">
        <v>0.09</v>
      </c>
      <c r="L132" s="36" t="s">
        <v>84</v>
      </c>
      <c r="M132" s="1" t="s">
        <v>307</v>
      </c>
      <c r="N132" s="36" t="s">
        <v>45</v>
      </c>
      <c r="O132" s="41">
        <v>52</v>
      </c>
      <c r="P132" s="36">
        <v>8</v>
      </c>
      <c r="Q132" s="42">
        <v>6250000</v>
      </c>
      <c r="R132" s="42">
        <v>5218228</v>
      </c>
      <c r="S132" s="42"/>
      <c r="T132" s="42"/>
      <c r="W132" s="8">
        <v>41626</v>
      </c>
      <c r="Y132" s="8">
        <f t="shared" si="44"/>
        <v>41626</v>
      </c>
      <c r="Z132" s="46">
        <f t="shared" si="45"/>
        <v>46739</v>
      </c>
      <c r="AA132" s="4">
        <v>31</v>
      </c>
      <c r="AB132" s="46">
        <f t="shared" si="47"/>
        <v>58062</v>
      </c>
      <c r="AC132" s="1" t="s">
        <v>790</v>
      </c>
      <c r="AD132" s="1" t="s">
        <v>791</v>
      </c>
      <c r="AE132" s="1" t="s">
        <v>792</v>
      </c>
      <c r="AF132" s="1" t="s">
        <v>793</v>
      </c>
      <c r="AG132" s="1" t="s">
        <v>474</v>
      </c>
      <c r="AH132" s="36">
        <v>98112</v>
      </c>
      <c r="AI132" s="47"/>
      <c r="AJ132" s="1" t="s">
        <v>794</v>
      </c>
      <c r="AU132" s="41">
        <v>52</v>
      </c>
      <c r="AX132" s="1">
        <v>8</v>
      </c>
      <c r="AY132" s="1">
        <v>8</v>
      </c>
      <c r="AZ132" s="1">
        <v>24</v>
      </c>
      <c r="BA132" s="1">
        <v>12</v>
      </c>
      <c r="BR132" s="52">
        <v>7209088</v>
      </c>
      <c r="BS132" s="52" t="e">
        <f>VLOOKUP(M132,#REF!,2,TRUE)*(BR132/1000000)</f>
        <v>#REF!</v>
      </c>
      <c r="BT132" s="43" t="e">
        <f>VLOOKUP(M132,#REF!,3,TRUE)*(BR132/1000000)</f>
        <v>#REF!</v>
      </c>
    </row>
    <row r="133" spans="1:72" ht="15" customHeight="1" x14ac:dyDescent="0.25">
      <c r="A133" s="8">
        <v>41386</v>
      </c>
      <c r="B133" s="36">
        <v>2013</v>
      </c>
      <c r="C133" s="36" t="s">
        <v>1014</v>
      </c>
      <c r="D133" s="1" t="s">
        <v>787</v>
      </c>
      <c r="E133" s="1" t="s">
        <v>1604</v>
      </c>
      <c r="F133" s="1" t="s">
        <v>795</v>
      </c>
      <c r="G133" s="38">
        <v>59427</v>
      </c>
      <c r="H133" s="39">
        <v>48.638330000000003</v>
      </c>
      <c r="I133" s="39">
        <v>-112.32511</v>
      </c>
      <c r="J133" s="1" t="s">
        <v>361</v>
      </c>
      <c r="K133" s="40">
        <v>0.09</v>
      </c>
      <c r="L133" s="36" t="s">
        <v>440</v>
      </c>
      <c r="M133" s="1" t="s">
        <v>1169</v>
      </c>
      <c r="N133" s="36" t="s">
        <v>45</v>
      </c>
      <c r="O133" s="41">
        <v>14</v>
      </c>
      <c r="P133" s="36">
        <v>2</v>
      </c>
      <c r="Q133" s="42">
        <v>2590000</v>
      </c>
      <c r="R133" s="42">
        <v>2097900</v>
      </c>
      <c r="S133" s="42"/>
      <c r="T133" s="42"/>
      <c r="W133" s="8">
        <v>41786</v>
      </c>
      <c r="Y133" s="8">
        <f t="shared" si="44"/>
        <v>41786</v>
      </c>
      <c r="Z133" s="46">
        <f t="shared" si="45"/>
        <v>46900</v>
      </c>
      <c r="AA133" s="4">
        <v>31</v>
      </c>
      <c r="AB133" s="46">
        <f t="shared" si="47"/>
        <v>58222</v>
      </c>
      <c r="AC133" s="1" t="s">
        <v>796</v>
      </c>
      <c r="AD133" s="1" t="s">
        <v>797</v>
      </c>
      <c r="AE133" s="1" t="s">
        <v>798</v>
      </c>
      <c r="AF133" s="1" t="s">
        <v>799</v>
      </c>
      <c r="AG133" s="1" t="s">
        <v>478</v>
      </c>
      <c r="AH133" s="36">
        <v>83706</v>
      </c>
      <c r="AI133" s="47"/>
      <c r="AJ133" s="1" t="s">
        <v>800</v>
      </c>
      <c r="AU133" s="41">
        <v>14</v>
      </c>
      <c r="AY133" s="1">
        <v>9</v>
      </c>
      <c r="AZ133" s="1">
        <v>5</v>
      </c>
      <c r="BR133" s="52">
        <v>2459531</v>
      </c>
      <c r="BS133" s="52" t="e">
        <f>VLOOKUP(M133,#REF!,2,TRUE)*(BR133/1000000)</f>
        <v>#REF!</v>
      </c>
      <c r="BT133" s="43" t="e">
        <f>VLOOKUP(M133,#REF!,3,TRUE)*(BR133/1000000)</f>
        <v>#REF!</v>
      </c>
    </row>
    <row r="134" spans="1:72" ht="15" customHeight="1" x14ac:dyDescent="0.25">
      <c r="A134" s="8">
        <v>41018</v>
      </c>
      <c r="B134" s="36">
        <v>2012</v>
      </c>
      <c r="C134" s="36" t="s">
        <v>1014</v>
      </c>
      <c r="D134" s="1" t="s">
        <v>781</v>
      </c>
      <c r="E134" s="1" t="s">
        <v>785</v>
      </c>
      <c r="F134" s="1" t="s">
        <v>46</v>
      </c>
      <c r="G134" s="38">
        <v>59901</v>
      </c>
      <c r="J134" s="1" t="s">
        <v>343</v>
      </c>
      <c r="K134" s="40">
        <v>0.09</v>
      </c>
      <c r="L134" s="36" t="s">
        <v>84</v>
      </c>
      <c r="M134" s="1" t="s">
        <v>1169</v>
      </c>
      <c r="N134" s="36" t="s">
        <v>746</v>
      </c>
      <c r="O134" s="41">
        <v>40</v>
      </c>
      <c r="P134" s="36">
        <v>1</v>
      </c>
      <c r="Q134" s="42">
        <v>6080000</v>
      </c>
      <c r="R134" s="42"/>
      <c r="S134" s="42"/>
      <c r="T134" s="42"/>
      <c r="W134" s="8">
        <v>41390</v>
      </c>
      <c r="Y134" s="8">
        <f t="shared" si="44"/>
        <v>41390</v>
      </c>
      <c r="Z134" s="46">
        <f t="shared" si="45"/>
        <v>46503</v>
      </c>
      <c r="AA134" s="4">
        <v>31</v>
      </c>
      <c r="AB134" s="46">
        <f t="shared" si="47"/>
        <v>57826</v>
      </c>
      <c r="AC134" s="1" t="s">
        <v>831</v>
      </c>
      <c r="AD134" s="1" t="s">
        <v>832</v>
      </c>
      <c r="AE134" s="1" t="s">
        <v>833</v>
      </c>
      <c r="AF134" s="1" t="s">
        <v>338</v>
      </c>
      <c r="AG134" s="1" t="s">
        <v>472</v>
      </c>
      <c r="AH134" s="36">
        <v>59803</v>
      </c>
      <c r="AI134" s="47"/>
      <c r="AJ134" s="1" t="s">
        <v>581</v>
      </c>
      <c r="AU134" s="41">
        <v>40</v>
      </c>
      <c r="BR134" s="52">
        <v>5320936</v>
      </c>
      <c r="BS134" s="52" t="e">
        <f>VLOOKUP(M134,#REF!,2,TRUE)*(BR134/1000000)</f>
        <v>#REF!</v>
      </c>
      <c r="BT134" s="43" t="e">
        <f>VLOOKUP(M134,#REF!,3,TRUE)*(BR134/1000000)</f>
        <v>#REF!</v>
      </c>
    </row>
    <row r="135" spans="1:72" ht="15" customHeight="1" x14ac:dyDescent="0.25">
      <c r="A135" s="8">
        <v>41018</v>
      </c>
      <c r="B135" s="36">
        <v>2012</v>
      </c>
      <c r="C135" s="36" t="s">
        <v>1014</v>
      </c>
      <c r="D135" s="1" t="s">
        <v>780</v>
      </c>
      <c r="E135" s="1" t="s">
        <v>1437</v>
      </c>
      <c r="F135" s="1" t="s">
        <v>784</v>
      </c>
      <c r="G135" s="38">
        <v>59270</v>
      </c>
      <c r="J135" s="1" t="s">
        <v>786</v>
      </c>
      <c r="K135" s="40">
        <v>0.09</v>
      </c>
      <c r="L135" s="36" t="s">
        <v>440</v>
      </c>
      <c r="M135" s="1" t="s">
        <v>1169</v>
      </c>
      <c r="N135" s="36" t="s">
        <v>45</v>
      </c>
      <c r="O135" s="41">
        <v>20</v>
      </c>
      <c r="P135" s="36">
        <v>1</v>
      </c>
      <c r="Q135" s="42">
        <v>4030130</v>
      </c>
      <c r="R135" s="42"/>
      <c r="S135" s="42"/>
      <c r="T135" s="42"/>
      <c r="W135" s="8">
        <v>41547</v>
      </c>
      <c r="Y135" s="8">
        <f t="shared" si="44"/>
        <v>41547</v>
      </c>
      <c r="Z135" s="46">
        <f t="shared" si="45"/>
        <v>46660</v>
      </c>
      <c r="AA135" s="4">
        <v>31</v>
      </c>
      <c r="AB135" s="46">
        <f t="shared" si="47"/>
        <v>57983</v>
      </c>
      <c r="AC135" s="1" t="s">
        <v>826</v>
      </c>
      <c r="AD135" s="1" t="s">
        <v>827</v>
      </c>
      <c r="AE135" s="1" t="s">
        <v>828</v>
      </c>
      <c r="AF135" s="1" t="s">
        <v>784</v>
      </c>
      <c r="AG135" s="1" t="s">
        <v>829</v>
      </c>
      <c r="AH135" s="36">
        <v>59270</v>
      </c>
      <c r="AI135" s="47"/>
      <c r="AJ135" s="1" t="s">
        <v>830</v>
      </c>
      <c r="AU135" s="41">
        <v>20</v>
      </c>
      <c r="BR135" s="52">
        <v>3444557</v>
      </c>
      <c r="BS135" s="52" t="e">
        <f>VLOOKUP(M135,#REF!,2,TRUE)*(BR135/1000000)</f>
        <v>#REF!</v>
      </c>
      <c r="BT135" s="43" t="e">
        <f>VLOOKUP(M135,#REF!,3,TRUE)*(BR135/1000000)</f>
        <v>#REF!</v>
      </c>
    </row>
    <row r="136" spans="1:72" ht="15" customHeight="1" x14ac:dyDescent="0.25">
      <c r="A136" s="8">
        <v>41018</v>
      </c>
      <c r="B136" s="36">
        <v>2012</v>
      </c>
      <c r="C136" s="36" t="s">
        <v>1014</v>
      </c>
      <c r="D136" s="1" t="s">
        <v>778</v>
      </c>
      <c r="E136" s="1" t="s">
        <v>872</v>
      </c>
      <c r="F136" s="1" t="s">
        <v>783</v>
      </c>
      <c r="G136" s="38">
        <v>59474</v>
      </c>
      <c r="J136" s="1" t="s">
        <v>400</v>
      </c>
      <c r="K136" s="40">
        <v>0.09</v>
      </c>
      <c r="L136" s="36" t="s">
        <v>71</v>
      </c>
      <c r="M136" s="1" t="s">
        <v>1169</v>
      </c>
      <c r="N136" s="36" t="s">
        <v>45</v>
      </c>
      <c r="O136" s="41">
        <v>12</v>
      </c>
      <c r="P136" s="36">
        <v>2</v>
      </c>
      <c r="Q136" s="108">
        <v>2000000</v>
      </c>
      <c r="R136" s="108"/>
      <c r="S136" s="108"/>
      <c r="T136" s="108"/>
      <c r="U136" s="109"/>
      <c r="V136" s="110"/>
      <c r="W136" s="8">
        <v>41428</v>
      </c>
      <c r="Y136" s="8">
        <f t="shared" si="44"/>
        <v>41428</v>
      </c>
      <c r="Z136" s="46">
        <f t="shared" si="45"/>
        <v>46541</v>
      </c>
      <c r="AA136" s="4">
        <v>31</v>
      </c>
      <c r="AB136" s="46">
        <f t="shared" si="47"/>
        <v>57864</v>
      </c>
      <c r="AC136" s="1" t="s">
        <v>817</v>
      </c>
      <c r="AD136" s="1" t="s">
        <v>797</v>
      </c>
      <c r="AE136" s="1" t="s">
        <v>818</v>
      </c>
      <c r="AF136" s="1" t="s">
        <v>799</v>
      </c>
      <c r="AG136" s="1" t="s">
        <v>478</v>
      </c>
      <c r="AH136" s="36">
        <v>83706</v>
      </c>
      <c r="AI136" s="47"/>
      <c r="AJ136" s="1" t="s">
        <v>800</v>
      </c>
      <c r="AU136" s="36">
        <v>12</v>
      </c>
      <c r="BR136" s="52">
        <v>1758655</v>
      </c>
      <c r="BS136" s="52" t="e">
        <f>VLOOKUP(M136,#REF!,2,TRUE)*(BR136/1000000)</f>
        <v>#REF!</v>
      </c>
      <c r="BT136" s="43" t="e">
        <f>VLOOKUP(M136,#REF!,3,TRUE)*(BR136/1000000)</f>
        <v>#REF!</v>
      </c>
    </row>
    <row r="137" spans="1:72" ht="15" customHeight="1" x14ac:dyDescent="0.25">
      <c r="A137" s="8">
        <v>41018</v>
      </c>
      <c r="B137" s="36">
        <v>2012</v>
      </c>
      <c r="C137" s="36" t="s">
        <v>1014</v>
      </c>
      <c r="D137" s="1" t="s">
        <v>777</v>
      </c>
      <c r="E137" s="1" t="s">
        <v>871</v>
      </c>
      <c r="F137" s="1" t="s">
        <v>195</v>
      </c>
      <c r="G137" s="38">
        <v>59715</v>
      </c>
      <c r="J137" s="1" t="s">
        <v>314</v>
      </c>
      <c r="K137" s="40">
        <v>0.09</v>
      </c>
      <c r="L137" s="36" t="s">
        <v>71</v>
      </c>
      <c r="M137" s="1" t="s">
        <v>1169</v>
      </c>
      <c r="N137" s="36" t="s">
        <v>45</v>
      </c>
      <c r="O137" s="41">
        <v>11</v>
      </c>
      <c r="P137" s="36">
        <v>3</v>
      </c>
      <c r="Q137" s="108">
        <v>2000000</v>
      </c>
      <c r="R137" s="108"/>
      <c r="S137" s="108"/>
      <c r="T137" s="108"/>
      <c r="U137" s="109"/>
      <c r="V137" s="110"/>
      <c r="W137" s="8">
        <v>41579</v>
      </c>
      <c r="Y137" s="8">
        <f t="shared" si="44"/>
        <v>41579</v>
      </c>
      <c r="Z137" s="46">
        <f t="shared" si="45"/>
        <v>46692</v>
      </c>
      <c r="AA137" s="4">
        <v>40</v>
      </c>
      <c r="AB137" s="46">
        <f t="shared" si="47"/>
        <v>61302</v>
      </c>
      <c r="AC137" s="1" t="s">
        <v>813</v>
      </c>
      <c r="AD137" s="1" t="s">
        <v>814</v>
      </c>
      <c r="AE137" s="1" t="s">
        <v>815</v>
      </c>
      <c r="AF137" s="1" t="s">
        <v>195</v>
      </c>
      <c r="AG137" s="1" t="s">
        <v>472</v>
      </c>
      <c r="AH137" s="36">
        <v>59718</v>
      </c>
      <c r="AI137" s="47"/>
      <c r="AJ137" s="1" t="s">
        <v>816</v>
      </c>
      <c r="AU137" s="36">
        <v>11</v>
      </c>
      <c r="BR137" s="52">
        <v>2186497</v>
      </c>
      <c r="BS137" s="52" t="e">
        <f>VLOOKUP(M137,#REF!,2,TRUE)*(BR137/1000000)</f>
        <v>#REF!</v>
      </c>
      <c r="BT137" s="43" t="e">
        <f>VLOOKUP(M137,#REF!,3,TRUE)*(BR137/1000000)</f>
        <v>#REF!</v>
      </c>
    </row>
    <row r="138" spans="1:72" ht="15" customHeight="1" x14ac:dyDescent="0.25">
      <c r="A138" s="8">
        <v>41018</v>
      </c>
      <c r="B138" s="36">
        <v>2012</v>
      </c>
      <c r="C138" s="36" t="s">
        <v>1014</v>
      </c>
      <c r="D138" s="1" t="s">
        <v>1733</v>
      </c>
      <c r="E138" s="1" t="s">
        <v>782</v>
      </c>
      <c r="F138" s="1" t="s">
        <v>60</v>
      </c>
      <c r="G138" s="38">
        <v>59701</v>
      </c>
      <c r="H138" s="39">
        <v>45.984650000000002</v>
      </c>
      <c r="I138" s="39">
        <v>-112.52417</v>
      </c>
      <c r="J138" s="1" t="s">
        <v>897</v>
      </c>
      <c r="K138" s="40">
        <v>0.04</v>
      </c>
      <c r="L138" s="36" t="s">
        <v>84</v>
      </c>
      <c r="M138" s="1" t="s">
        <v>307</v>
      </c>
      <c r="N138" s="36" t="s">
        <v>45</v>
      </c>
      <c r="O138" s="41">
        <v>60</v>
      </c>
      <c r="P138" s="36">
        <v>8</v>
      </c>
      <c r="Q138" s="108">
        <v>1707950</v>
      </c>
      <c r="R138" s="108"/>
      <c r="S138" s="108">
        <f>(857000+4032000+850713)*0.6</f>
        <v>3443827.8</v>
      </c>
      <c r="T138" s="108"/>
      <c r="U138" s="109"/>
      <c r="V138" s="110"/>
      <c r="W138" s="8">
        <v>41167</v>
      </c>
      <c r="Y138" s="8">
        <f t="shared" si="44"/>
        <v>41167</v>
      </c>
      <c r="Z138" s="46">
        <f t="shared" si="45"/>
        <v>46280</v>
      </c>
      <c r="AA138" s="4">
        <v>31</v>
      </c>
      <c r="AB138" s="46">
        <f t="shared" si="47"/>
        <v>57603</v>
      </c>
      <c r="AC138" s="1" t="s">
        <v>1718</v>
      </c>
      <c r="AD138" s="1" t="s">
        <v>791</v>
      </c>
      <c r="AE138" s="1" t="s">
        <v>792</v>
      </c>
      <c r="AF138" s="1" t="s">
        <v>793</v>
      </c>
      <c r="AG138" s="1" t="s">
        <v>474</v>
      </c>
      <c r="AH138" s="36">
        <v>98112</v>
      </c>
      <c r="AI138" s="47"/>
      <c r="AJ138" s="1" t="s">
        <v>794</v>
      </c>
      <c r="AT138" s="112"/>
      <c r="AU138" s="113">
        <v>60</v>
      </c>
      <c r="BR138" s="52">
        <v>5316022</v>
      </c>
      <c r="BS138" s="52" t="e">
        <f>VLOOKUP(M138,#REF!,2,TRUE)*(BR138/1000000)</f>
        <v>#REF!</v>
      </c>
      <c r="BT138" s="43" t="e">
        <f>VLOOKUP(M138,#REF!,3,TRUE)*(BR138/1000000)</f>
        <v>#REF!</v>
      </c>
    </row>
    <row r="139" spans="1:72" ht="15" customHeight="1" x14ac:dyDescent="0.25">
      <c r="A139" s="8">
        <v>41018</v>
      </c>
      <c r="B139" s="36">
        <v>2012</v>
      </c>
      <c r="C139" s="36" t="s">
        <v>1014</v>
      </c>
      <c r="D139" s="1" t="s">
        <v>1734</v>
      </c>
      <c r="E139" s="1" t="s">
        <v>1436</v>
      </c>
      <c r="F139" s="1" t="s">
        <v>65</v>
      </c>
      <c r="G139" s="38">
        <v>59405</v>
      </c>
      <c r="H139" s="39">
        <v>47.490549999999999</v>
      </c>
      <c r="I139" s="39">
        <v>-111.29602</v>
      </c>
      <c r="J139" s="1" t="s">
        <v>308</v>
      </c>
      <c r="K139" s="40">
        <v>0.04</v>
      </c>
      <c r="L139" s="36" t="s">
        <v>84</v>
      </c>
      <c r="M139" s="1" t="s">
        <v>307</v>
      </c>
      <c r="N139" s="36" t="s">
        <v>749</v>
      </c>
      <c r="O139" s="41">
        <v>40</v>
      </c>
      <c r="P139" s="36">
        <v>1</v>
      </c>
      <c r="Q139" s="108">
        <v>709480</v>
      </c>
      <c r="R139" s="108"/>
      <c r="S139" s="108">
        <f>(857000+4032000+850713)*0.4</f>
        <v>2295885.2000000002</v>
      </c>
      <c r="T139" s="108"/>
      <c r="U139" s="109"/>
      <c r="V139" s="110"/>
      <c r="W139" s="8">
        <v>41275</v>
      </c>
      <c r="Y139" s="8">
        <f t="shared" si="44"/>
        <v>41275</v>
      </c>
      <c r="Z139" s="46">
        <f t="shared" si="45"/>
        <v>46388</v>
      </c>
      <c r="AA139" s="4">
        <v>31</v>
      </c>
      <c r="AB139" s="46">
        <f t="shared" si="47"/>
        <v>57711</v>
      </c>
      <c r="AC139" s="1" t="s">
        <v>1718</v>
      </c>
      <c r="AD139" s="1" t="s">
        <v>791</v>
      </c>
      <c r="AE139" s="1" t="s">
        <v>792</v>
      </c>
      <c r="AF139" s="1" t="s">
        <v>793</v>
      </c>
      <c r="AG139" s="1" t="s">
        <v>474</v>
      </c>
      <c r="AH139" s="36">
        <v>98112</v>
      </c>
      <c r="AI139" s="47"/>
      <c r="AJ139" s="1" t="s">
        <v>794</v>
      </c>
      <c r="AT139" s="112"/>
      <c r="AU139" s="113">
        <v>40</v>
      </c>
      <c r="BR139" s="52">
        <v>2391300</v>
      </c>
      <c r="BS139" s="52" t="e">
        <f>VLOOKUP(M139,#REF!,2,TRUE)*(BR139/1000000)</f>
        <v>#REF!</v>
      </c>
      <c r="BT139" s="43" t="e">
        <f>VLOOKUP(M139,#REF!,3,TRUE)*(BR139/1000000)</f>
        <v>#REF!</v>
      </c>
    </row>
    <row r="140" spans="1:72" ht="15" customHeight="1" x14ac:dyDescent="0.25">
      <c r="A140" s="8">
        <v>40887</v>
      </c>
      <c r="B140" s="36">
        <v>2011</v>
      </c>
      <c r="C140" s="36" t="s">
        <v>1014</v>
      </c>
      <c r="D140" s="1" t="s">
        <v>1536</v>
      </c>
      <c r="E140" s="1" t="s">
        <v>1435</v>
      </c>
      <c r="F140" s="1" t="s">
        <v>1279</v>
      </c>
      <c r="G140" s="38">
        <v>59866</v>
      </c>
      <c r="J140" s="1" t="s">
        <v>51</v>
      </c>
      <c r="K140" s="40">
        <v>0.09</v>
      </c>
      <c r="L140" s="36" t="s">
        <v>84</v>
      </c>
      <c r="M140" s="1" t="s">
        <v>1169</v>
      </c>
      <c r="N140" s="36" t="s">
        <v>45</v>
      </c>
      <c r="O140" s="41">
        <v>8</v>
      </c>
      <c r="P140" s="36">
        <v>1</v>
      </c>
      <c r="Q140" s="42">
        <v>1189130</v>
      </c>
      <c r="R140" s="42"/>
      <c r="S140" s="42"/>
      <c r="T140" s="42"/>
      <c r="W140" s="8">
        <v>41241</v>
      </c>
      <c r="Y140" s="8">
        <f t="shared" si="44"/>
        <v>41241</v>
      </c>
      <c r="Z140" s="46">
        <f t="shared" si="45"/>
        <v>46354</v>
      </c>
      <c r="AA140" s="4">
        <v>31</v>
      </c>
      <c r="AB140" s="46">
        <f t="shared" si="47"/>
        <v>57677</v>
      </c>
      <c r="AC140" s="1" t="s">
        <v>775</v>
      </c>
      <c r="AD140" s="1" t="s">
        <v>776</v>
      </c>
      <c r="AE140" s="1" t="s">
        <v>116</v>
      </c>
      <c r="AF140" s="1" t="s">
        <v>20</v>
      </c>
      <c r="AG140" s="1" t="s">
        <v>472</v>
      </c>
      <c r="AH140" s="36">
        <v>59801</v>
      </c>
      <c r="AI140" s="47"/>
      <c r="AJ140" s="1" t="s">
        <v>55</v>
      </c>
      <c r="AT140" s="112"/>
      <c r="AU140" s="113">
        <v>8</v>
      </c>
      <c r="AX140" s="1">
        <v>2</v>
      </c>
      <c r="AY140" s="1">
        <v>2</v>
      </c>
      <c r="AZ140" s="1">
        <v>4</v>
      </c>
      <c r="BR140" s="52">
        <v>114058</v>
      </c>
      <c r="BS140" s="52" t="e">
        <f>VLOOKUP(M140,#REF!,2,TRUE)*(BR140/1000000)</f>
        <v>#REF!</v>
      </c>
      <c r="BT140" s="43" t="e">
        <f>VLOOKUP(M140,#REF!,3,TRUE)*(BR140/1000000)</f>
        <v>#REF!</v>
      </c>
    </row>
    <row r="141" spans="1:72" ht="15" customHeight="1" x14ac:dyDescent="0.25">
      <c r="A141" s="8">
        <v>40887</v>
      </c>
      <c r="B141" s="36">
        <v>2011</v>
      </c>
      <c r="C141" s="36" t="s">
        <v>1014</v>
      </c>
      <c r="D141" s="1" t="s">
        <v>1535</v>
      </c>
      <c r="E141" s="1" t="s">
        <v>1434</v>
      </c>
      <c r="F141" s="1" t="s">
        <v>65</v>
      </c>
      <c r="G141" s="38">
        <v>59401</v>
      </c>
      <c r="J141" s="1" t="s">
        <v>308</v>
      </c>
      <c r="K141" s="40">
        <v>0.09</v>
      </c>
      <c r="L141" s="36" t="s">
        <v>84</v>
      </c>
      <c r="M141" s="1" t="s">
        <v>1169</v>
      </c>
      <c r="N141" s="36" t="s">
        <v>749</v>
      </c>
      <c r="O141" s="41">
        <v>40</v>
      </c>
      <c r="P141" s="36">
        <v>1</v>
      </c>
      <c r="Q141" s="42">
        <v>6045270</v>
      </c>
      <c r="R141" s="42"/>
      <c r="S141" s="42"/>
      <c r="T141" s="42"/>
      <c r="W141" s="8">
        <v>41180</v>
      </c>
      <c r="Y141" s="8">
        <f t="shared" si="44"/>
        <v>41180</v>
      </c>
      <c r="Z141" s="46">
        <f t="shared" si="45"/>
        <v>46293</v>
      </c>
      <c r="AA141" s="4">
        <v>31</v>
      </c>
      <c r="AB141" s="46">
        <f t="shared" si="47"/>
        <v>57616</v>
      </c>
      <c r="AC141" s="1" t="s">
        <v>769</v>
      </c>
      <c r="AD141" s="1" t="s">
        <v>771</v>
      </c>
      <c r="AE141" s="1" t="s">
        <v>772</v>
      </c>
      <c r="AF141" s="1" t="s">
        <v>773</v>
      </c>
      <c r="AG141" s="1" t="s">
        <v>472</v>
      </c>
      <c r="AH141" s="36">
        <v>59401</v>
      </c>
      <c r="AI141" s="47"/>
      <c r="AJ141" s="1" t="s">
        <v>774</v>
      </c>
      <c r="AT141" s="112"/>
      <c r="AU141" s="113">
        <v>40</v>
      </c>
      <c r="AX141" s="1">
        <v>20</v>
      </c>
      <c r="AY141" s="1">
        <v>19</v>
      </c>
      <c r="BE141" s="1">
        <v>1</v>
      </c>
      <c r="BR141" s="52">
        <v>5502169</v>
      </c>
      <c r="BS141" s="52" t="e">
        <f>VLOOKUP(M141,#REF!,2,TRUE)*(BR141/1000000)</f>
        <v>#REF!</v>
      </c>
      <c r="BT141" s="43" t="e">
        <f>VLOOKUP(M141,#REF!,3,TRUE)*(BR141/1000000)</f>
        <v>#REF!</v>
      </c>
    </row>
    <row r="142" spans="1:72" ht="15" customHeight="1" x14ac:dyDescent="0.25">
      <c r="A142" s="8">
        <v>40887</v>
      </c>
      <c r="B142" s="36">
        <v>2011</v>
      </c>
      <c r="C142" s="36" t="s">
        <v>1014</v>
      </c>
      <c r="D142" s="1" t="s">
        <v>1534</v>
      </c>
      <c r="E142" s="1" t="s">
        <v>1433</v>
      </c>
      <c r="F142" s="1" t="s">
        <v>338</v>
      </c>
      <c r="G142" s="38">
        <v>59801</v>
      </c>
      <c r="J142" s="1" t="s">
        <v>338</v>
      </c>
      <c r="K142" s="40">
        <v>0.09</v>
      </c>
      <c r="L142" s="36" t="s">
        <v>84</v>
      </c>
      <c r="M142" s="1" t="s">
        <v>307</v>
      </c>
      <c r="N142" s="36" t="s">
        <v>45</v>
      </c>
      <c r="O142" s="41">
        <v>60</v>
      </c>
      <c r="P142" s="36">
        <v>1</v>
      </c>
      <c r="Q142" s="42">
        <v>6162500</v>
      </c>
      <c r="R142" s="42"/>
      <c r="S142" s="42"/>
      <c r="T142" s="42"/>
      <c r="W142" s="8">
        <v>41275</v>
      </c>
      <c r="Y142" s="8">
        <f t="shared" si="44"/>
        <v>41275</v>
      </c>
      <c r="Z142" s="46">
        <f t="shared" si="45"/>
        <v>46388</v>
      </c>
      <c r="AA142" s="4">
        <v>31</v>
      </c>
      <c r="AB142" s="46">
        <f t="shared" si="47"/>
        <v>57711</v>
      </c>
      <c r="AC142" s="1" t="s">
        <v>176</v>
      </c>
      <c r="AD142" s="1" t="s">
        <v>345</v>
      </c>
      <c r="AE142" s="1" t="s">
        <v>706</v>
      </c>
      <c r="AF142" s="1" t="s">
        <v>20</v>
      </c>
      <c r="AG142" s="1" t="s">
        <v>472</v>
      </c>
      <c r="AH142" s="36">
        <v>59801</v>
      </c>
      <c r="AI142" s="47"/>
      <c r="AJ142" s="1" t="s">
        <v>691</v>
      </c>
      <c r="AT142" s="112"/>
      <c r="AU142" s="113">
        <v>60</v>
      </c>
      <c r="AW142" s="1">
        <v>5</v>
      </c>
      <c r="AX142" s="1">
        <v>47</v>
      </c>
      <c r="AY142" s="1">
        <v>8</v>
      </c>
      <c r="BR142" s="52">
        <v>7338509</v>
      </c>
      <c r="BS142" s="52" t="e">
        <f>VLOOKUP(M142,#REF!,2,TRUE)*(BR142/1000000)</f>
        <v>#REF!</v>
      </c>
      <c r="BT142" s="43" t="e">
        <f>VLOOKUP(M142,#REF!,3,TRUE)*(BR142/1000000)</f>
        <v>#REF!</v>
      </c>
    </row>
    <row r="143" spans="1:72" ht="15" customHeight="1" x14ac:dyDescent="0.25">
      <c r="A143" s="8">
        <v>40887</v>
      </c>
      <c r="B143" s="36">
        <v>2011</v>
      </c>
      <c r="C143" s="36" t="s">
        <v>1014</v>
      </c>
      <c r="D143" s="1" t="s">
        <v>1854</v>
      </c>
      <c r="E143" s="1" t="s">
        <v>1168</v>
      </c>
      <c r="F143" s="1" t="s">
        <v>1168</v>
      </c>
      <c r="G143" s="38">
        <v>59225</v>
      </c>
      <c r="J143" s="1" t="s">
        <v>895</v>
      </c>
      <c r="K143" s="40">
        <v>0.09</v>
      </c>
      <c r="L143" s="36" t="s">
        <v>454</v>
      </c>
      <c r="M143" s="1" t="s">
        <v>1169</v>
      </c>
      <c r="N143" s="36" t="s">
        <v>45</v>
      </c>
      <c r="O143" s="41">
        <v>24</v>
      </c>
      <c r="P143" s="36">
        <v>24</v>
      </c>
      <c r="Q143" s="42">
        <v>6144010</v>
      </c>
      <c r="R143" s="42">
        <v>4730426</v>
      </c>
      <c r="S143" s="42"/>
      <c r="T143" s="42"/>
      <c r="W143" s="8">
        <v>41306</v>
      </c>
      <c r="Y143" s="8">
        <f t="shared" si="44"/>
        <v>41306</v>
      </c>
      <c r="Z143" s="46">
        <f t="shared" si="45"/>
        <v>46419</v>
      </c>
      <c r="AA143" s="4">
        <v>31</v>
      </c>
      <c r="AB143" s="46">
        <f t="shared" si="47"/>
        <v>57742</v>
      </c>
      <c r="AC143" s="1" t="s">
        <v>667</v>
      </c>
      <c r="AD143" s="1" t="s">
        <v>668</v>
      </c>
      <c r="AE143" s="1" t="s">
        <v>770</v>
      </c>
      <c r="AF143" s="1" t="s">
        <v>203</v>
      </c>
      <c r="AG143" s="1" t="s">
        <v>472</v>
      </c>
      <c r="AH143" s="36">
        <v>59225</v>
      </c>
      <c r="AI143" s="47"/>
      <c r="AJ143" s="1" t="s">
        <v>670</v>
      </c>
      <c r="AT143" s="112"/>
      <c r="AU143" s="113">
        <v>24</v>
      </c>
      <c r="AZ143" s="1">
        <v>15</v>
      </c>
      <c r="BA143" s="1">
        <v>9</v>
      </c>
      <c r="BR143" s="52">
        <v>6160527</v>
      </c>
      <c r="BS143" s="52" t="e">
        <f>VLOOKUP(M143,#REF!,2,TRUE)*(BR143/1000000)</f>
        <v>#REF!</v>
      </c>
      <c r="BT143" s="43" t="e">
        <f>VLOOKUP(M143,#REF!,3,TRUE)*(BR143/1000000)</f>
        <v>#REF!</v>
      </c>
    </row>
    <row r="144" spans="1:72" ht="15" customHeight="1" x14ac:dyDescent="0.25">
      <c r="A144" s="8">
        <v>40520</v>
      </c>
      <c r="B144" s="36">
        <v>2010</v>
      </c>
      <c r="C144" s="36" t="s">
        <v>1014</v>
      </c>
      <c r="D144" s="1" t="s">
        <v>878</v>
      </c>
      <c r="E144" s="1" t="s">
        <v>1432</v>
      </c>
      <c r="F144" s="1" t="s">
        <v>338</v>
      </c>
      <c r="G144" s="38">
        <v>59801</v>
      </c>
      <c r="J144" s="1" t="s">
        <v>338</v>
      </c>
      <c r="K144" s="40">
        <v>0.09</v>
      </c>
      <c r="L144" s="36" t="s">
        <v>742</v>
      </c>
      <c r="M144" s="1" t="s">
        <v>307</v>
      </c>
      <c r="N144" s="36" t="s">
        <v>45</v>
      </c>
      <c r="O144" s="113">
        <v>60</v>
      </c>
      <c r="P144" s="36">
        <v>5</v>
      </c>
      <c r="Q144" s="43">
        <v>5848280</v>
      </c>
      <c r="R144" s="43"/>
      <c r="S144" s="43"/>
      <c r="T144" s="43"/>
      <c r="W144" s="8">
        <v>40535</v>
      </c>
      <c r="Y144" s="8">
        <f t="shared" si="44"/>
        <v>40535</v>
      </c>
      <c r="Z144" s="46">
        <f t="shared" si="45"/>
        <v>45649</v>
      </c>
      <c r="AA144" s="4">
        <v>35</v>
      </c>
      <c r="AB144" s="46">
        <f t="shared" si="47"/>
        <v>58432</v>
      </c>
      <c r="AC144" s="115" t="s">
        <v>743</v>
      </c>
      <c r="AD144" s="115" t="s">
        <v>744</v>
      </c>
      <c r="AE144" s="115" t="s">
        <v>745</v>
      </c>
      <c r="AF144" s="115" t="s">
        <v>766</v>
      </c>
      <c r="AG144" s="115" t="s">
        <v>475</v>
      </c>
      <c r="AH144" s="36">
        <v>95110</v>
      </c>
      <c r="AI144" s="47"/>
      <c r="AJ144" s="115" t="s">
        <v>651</v>
      </c>
      <c r="AK144" s="115"/>
      <c r="AL144" s="115"/>
      <c r="AM144" s="115"/>
      <c r="AN144" s="115"/>
      <c r="AO144" s="115"/>
      <c r="AP144" s="115"/>
      <c r="AQ144" s="115"/>
      <c r="AR144" s="115"/>
      <c r="AS144" s="115"/>
      <c r="AT144" s="112"/>
      <c r="AU144" s="113">
        <v>60</v>
      </c>
      <c r="AW144" s="113"/>
      <c r="AX144" s="113">
        <v>12</v>
      </c>
      <c r="AY144" s="113">
        <v>36</v>
      </c>
      <c r="AZ144" s="113">
        <v>12</v>
      </c>
      <c r="BA144" s="113" t="s">
        <v>419</v>
      </c>
      <c r="BB144" s="113"/>
      <c r="BC144" s="113"/>
      <c r="BD144" s="113" t="s">
        <v>419</v>
      </c>
      <c r="BR144" s="52">
        <v>5789502</v>
      </c>
      <c r="BS144" s="52" t="e">
        <f>VLOOKUP(M144,#REF!,2,TRUE)*(BR144/1000000)</f>
        <v>#REF!</v>
      </c>
      <c r="BT144" s="43" t="e">
        <f>VLOOKUP(M144,#REF!,3,TRUE)*(BR144/1000000)</f>
        <v>#REF!</v>
      </c>
    </row>
    <row r="145" spans="1:72" ht="15" customHeight="1" x14ac:dyDescent="0.25">
      <c r="A145" s="9">
        <v>40520</v>
      </c>
      <c r="B145" s="92">
        <v>2010</v>
      </c>
      <c r="C145" s="92" t="s">
        <v>1583</v>
      </c>
      <c r="D145" s="93" t="s">
        <v>1593</v>
      </c>
      <c r="E145" s="93" t="s">
        <v>175</v>
      </c>
      <c r="F145" s="93" t="s">
        <v>338</v>
      </c>
      <c r="G145" s="95">
        <v>59801</v>
      </c>
      <c r="H145" s="114"/>
      <c r="I145" s="114"/>
      <c r="J145" s="93" t="s">
        <v>338</v>
      </c>
      <c r="K145" s="97">
        <v>0.09</v>
      </c>
      <c r="L145" s="92" t="s">
        <v>84</v>
      </c>
      <c r="M145" s="93" t="s">
        <v>1169</v>
      </c>
      <c r="N145" s="92" t="s">
        <v>746</v>
      </c>
      <c r="O145" s="116" t="s">
        <v>419</v>
      </c>
      <c r="P145" s="92"/>
      <c r="Q145" s="117" t="s">
        <v>419</v>
      </c>
      <c r="R145" s="117"/>
      <c r="S145" s="117"/>
      <c r="T145" s="117"/>
      <c r="U145" s="118"/>
      <c r="V145" s="119"/>
      <c r="Y145" s="8">
        <f t="shared" si="44"/>
        <v>0</v>
      </c>
      <c r="AA145" s="5"/>
      <c r="AC145" s="120" t="s">
        <v>576</v>
      </c>
      <c r="AD145" s="120" t="s">
        <v>577</v>
      </c>
      <c r="AE145" s="120" t="s">
        <v>747</v>
      </c>
      <c r="AF145" s="120" t="s">
        <v>338</v>
      </c>
      <c r="AG145" s="120" t="s">
        <v>472</v>
      </c>
      <c r="AH145" s="92">
        <v>59803</v>
      </c>
      <c r="AI145" s="47"/>
      <c r="AJ145" s="120" t="s">
        <v>581</v>
      </c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1"/>
      <c r="AU145" s="116">
        <v>36</v>
      </c>
      <c r="AV145" s="93"/>
      <c r="AW145" s="116"/>
      <c r="AX145" s="116">
        <v>25</v>
      </c>
      <c r="AY145" s="116">
        <v>10</v>
      </c>
      <c r="AZ145" s="116" t="s">
        <v>419</v>
      </c>
      <c r="BA145" s="116"/>
      <c r="BB145" s="116"/>
      <c r="BC145" s="116"/>
      <c r="BD145" s="116"/>
      <c r="BE145" s="93">
        <v>1</v>
      </c>
      <c r="BR145" s="52" t="s">
        <v>419</v>
      </c>
      <c r="BS145" s="52" t="e">
        <f>VLOOKUP(M145,#REF!,2,TRUE)*(BR145/1000000)</f>
        <v>#REF!</v>
      </c>
      <c r="BT145" s="43" t="e">
        <f>VLOOKUP(M145,#REF!,3,TRUE)*(BR145/1000000)</f>
        <v>#REF!</v>
      </c>
    </row>
    <row r="146" spans="1:72" ht="15" customHeight="1" x14ac:dyDescent="0.25">
      <c r="A146" s="8">
        <v>40520</v>
      </c>
      <c r="B146" s="36">
        <v>2010</v>
      </c>
      <c r="C146" s="36" t="s">
        <v>1014</v>
      </c>
      <c r="D146" s="1" t="s">
        <v>737</v>
      </c>
      <c r="E146" s="1" t="s">
        <v>738</v>
      </c>
      <c r="F146" s="1" t="s">
        <v>338</v>
      </c>
      <c r="G146" s="38">
        <v>59801</v>
      </c>
      <c r="J146" s="1" t="s">
        <v>338</v>
      </c>
      <c r="K146" s="40">
        <v>0.09</v>
      </c>
      <c r="L146" s="36" t="s">
        <v>426</v>
      </c>
      <c r="M146" s="1" t="s">
        <v>1169</v>
      </c>
      <c r="N146" s="36" t="s">
        <v>45</v>
      </c>
      <c r="O146" s="113" t="s">
        <v>419</v>
      </c>
      <c r="P146" s="36" t="s">
        <v>419</v>
      </c>
      <c r="Q146" s="43">
        <v>5000000</v>
      </c>
      <c r="R146" s="43"/>
      <c r="S146" s="43"/>
      <c r="T146" s="43"/>
      <c r="W146" s="8">
        <v>40847</v>
      </c>
      <c r="Y146" s="8">
        <f t="shared" si="44"/>
        <v>40847</v>
      </c>
      <c r="Z146" s="46">
        <f t="shared" si="45"/>
        <v>45961</v>
      </c>
      <c r="AA146" s="4">
        <v>31</v>
      </c>
      <c r="AB146" s="46">
        <f t="shared" ref="AB146:AB159" si="48">DATE(YEAR(Z146)+AA146,MONTH(Z146),DAY(Z146))</f>
        <v>57284</v>
      </c>
      <c r="AC146" s="115" t="s">
        <v>739</v>
      </c>
      <c r="AD146" s="115" t="s">
        <v>740</v>
      </c>
      <c r="AE146" s="115" t="s">
        <v>741</v>
      </c>
      <c r="AF146" s="115" t="s">
        <v>338</v>
      </c>
      <c r="AG146" s="115" t="s">
        <v>472</v>
      </c>
      <c r="AH146" s="36">
        <v>59802</v>
      </c>
      <c r="AI146" s="47"/>
      <c r="AJ146" s="115" t="s">
        <v>165</v>
      </c>
      <c r="AK146" s="115"/>
      <c r="AL146" s="115"/>
      <c r="AM146" s="115"/>
      <c r="AN146" s="115"/>
      <c r="AO146" s="115"/>
      <c r="AP146" s="115"/>
      <c r="AQ146" s="115"/>
      <c r="AR146" s="115"/>
      <c r="AS146" s="115"/>
      <c r="AT146" s="112"/>
      <c r="AU146" s="113" t="s">
        <v>419</v>
      </c>
      <c r="AW146" s="113" t="s">
        <v>419</v>
      </c>
      <c r="AX146" s="113" t="s">
        <v>419</v>
      </c>
      <c r="AY146" s="113" t="s">
        <v>419</v>
      </c>
      <c r="AZ146" s="113" t="s">
        <v>419</v>
      </c>
      <c r="BA146" s="113" t="s">
        <v>419</v>
      </c>
      <c r="BB146" s="113" t="s">
        <v>419</v>
      </c>
      <c r="BC146" s="113"/>
      <c r="BD146" s="113" t="s">
        <v>419</v>
      </c>
      <c r="BR146" s="52">
        <v>8200589</v>
      </c>
      <c r="BS146" s="52" t="e">
        <f>VLOOKUP(M146,#REF!,2,TRUE)*(BR146/1000000)</f>
        <v>#REF!</v>
      </c>
      <c r="BT146" s="43" t="e">
        <f>VLOOKUP(M146,#REF!,3,TRUE)*(BR146/1000000)</f>
        <v>#REF!</v>
      </c>
    </row>
    <row r="147" spans="1:72" s="93" customFormat="1" ht="15" customHeight="1" x14ac:dyDescent="0.25">
      <c r="A147" s="8">
        <v>40520</v>
      </c>
      <c r="B147" s="36">
        <v>2010</v>
      </c>
      <c r="C147" s="36" t="s">
        <v>1014</v>
      </c>
      <c r="D147" s="1" t="s">
        <v>748</v>
      </c>
      <c r="E147" s="1" t="s">
        <v>869</v>
      </c>
      <c r="F147" s="1" t="s">
        <v>60</v>
      </c>
      <c r="G147" s="38">
        <v>59701</v>
      </c>
      <c r="H147" s="39"/>
      <c r="I147" s="39"/>
      <c r="J147" s="1" t="s">
        <v>897</v>
      </c>
      <c r="K147" s="40">
        <v>0.09</v>
      </c>
      <c r="L147" s="36" t="s">
        <v>84</v>
      </c>
      <c r="M147" s="1" t="s">
        <v>1169</v>
      </c>
      <c r="N147" s="36" t="s">
        <v>749</v>
      </c>
      <c r="O147" s="113">
        <v>48</v>
      </c>
      <c r="P147" s="36">
        <v>1</v>
      </c>
      <c r="Q147" s="43">
        <v>6069250</v>
      </c>
      <c r="R147" s="43"/>
      <c r="S147" s="43"/>
      <c r="T147" s="43"/>
      <c r="U147" s="53"/>
      <c r="V147" s="45"/>
      <c r="W147" s="8">
        <v>40814</v>
      </c>
      <c r="X147" s="8"/>
      <c r="Y147" s="8">
        <f t="shared" si="44"/>
        <v>40814</v>
      </c>
      <c r="Z147" s="46">
        <f t="shared" si="45"/>
        <v>45928</v>
      </c>
      <c r="AA147" s="4">
        <v>31</v>
      </c>
      <c r="AB147" s="46">
        <f t="shared" si="48"/>
        <v>57251</v>
      </c>
      <c r="AC147" s="115" t="s">
        <v>750</v>
      </c>
      <c r="AD147" s="115" t="s">
        <v>751</v>
      </c>
      <c r="AE147" s="115" t="s">
        <v>752</v>
      </c>
      <c r="AF147" s="115" t="s">
        <v>60</v>
      </c>
      <c r="AG147" s="115" t="s">
        <v>472</v>
      </c>
      <c r="AH147" s="36">
        <v>59701</v>
      </c>
      <c r="AI147" s="47"/>
      <c r="AJ147" s="115" t="s">
        <v>753</v>
      </c>
      <c r="AK147" s="115"/>
      <c r="AL147" s="115"/>
      <c r="AM147" s="115"/>
      <c r="AN147" s="115"/>
      <c r="AO147" s="115"/>
      <c r="AP147" s="115"/>
      <c r="AQ147" s="115"/>
      <c r="AR147" s="115"/>
      <c r="AS147" s="115"/>
      <c r="AT147" s="112"/>
      <c r="AU147" s="113">
        <v>48</v>
      </c>
      <c r="AV147" s="1"/>
      <c r="AW147" s="113"/>
      <c r="AX147" s="113">
        <v>32</v>
      </c>
      <c r="AY147" s="113">
        <v>15</v>
      </c>
      <c r="AZ147" s="113" t="s">
        <v>419</v>
      </c>
      <c r="BA147" s="113" t="s">
        <v>419</v>
      </c>
      <c r="BB147" s="113"/>
      <c r="BC147" s="113"/>
      <c r="BD147" s="113"/>
      <c r="BE147" s="1">
        <v>1</v>
      </c>
      <c r="BF147" s="92"/>
      <c r="BG147" s="92"/>
      <c r="BH147" s="92"/>
      <c r="BI147" s="92"/>
      <c r="BJ147" s="92"/>
      <c r="BK147" s="92"/>
      <c r="BL147" s="92"/>
      <c r="BM147" s="92"/>
      <c r="BN147" s="92"/>
      <c r="BR147" s="52">
        <v>6714311</v>
      </c>
      <c r="BS147" s="52" t="e">
        <f>VLOOKUP(M147,#REF!,2,TRUE)*(BR147/1000000)</f>
        <v>#REF!</v>
      </c>
      <c r="BT147" s="43" t="e">
        <f>VLOOKUP(M147,#REF!,3,TRUE)*(BR147/1000000)</f>
        <v>#REF!</v>
      </c>
    </row>
    <row r="148" spans="1:72" ht="15" customHeight="1" x14ac:dyDescent="0.25">
      <c r="A148" s="8">
        <v>40520</v>
      </c>
      <c r="B148" s="36">
        <v>2010</v>
      </c>
      <c r="C148" s="36" t="s">
        <v>1014</v>
      </c>
      <c r="D148" s="1" t="s">
        <v>759</v>
      </c>
      <c r="E148" s="1" t="s">
        <v>1431</v>
      </c>
      <c r="F148" s="1" t="s">
        <v>760</v>
      </c>
      <c r="G148" s="38">
        <v>59501</v>
      </c>
      <c r="J148" s="1" t="s">
        <v>303</v>
      </c>
      <c r="K148" s="40">
        <v>0.09</v>
      </c>
      <c r="L148" s="36" t="s">
        <v>426</v>
      </c>
      <c r="M148" s="1" t="s">
        <v>1169</v>
      </c>
      <c r="N148" s="36" t="s">
        <v>746</v>
      </c>
      <c r="O148" s="113">
        <v>20</v>
      </c>
      <c r="P148" s="36">
        <v>4</v>
      </c>
      <c r="Q148" s="43">
        <v>4850000</v>
      </c>
      <c r="R148" s="43"/>
      <c r="S148" s="43"/>
      <c r="T148" s="43"/>
      <c r="W148" s="8">
        <v>41135</v>
      </c>
      <c r="Y148" s="8">
        <f t="shared" si="44"/>
        <v>41135</v>
      </c>
      <c r="Z148" s="46">
        <f t="shared" si="45"/>
        <v>46248</v>
      </c>
      <c r="AA148" s="4">
        <v>31</v>
      </c>
      <c r="AB148" s="46">
        <f t="shared" si="48"/>
        <v>57571</v>
      </c>
      <c r="AC148" s="115" t="s">
        <v>761</v>
      </c>
      <c r="AD148" s="115" t="s">
        <v>762</v>
      </c>
      <c r="AE148" s="115" t="s">
        <v>763</v>
      </c>
      <c r="AF148" s="115" t="s">
        <v>760</v>
      </c>
      <c r="AG148" s="115" t="s">
        <v>472</v>
      </c>
      <c r="AH148" s="36">
        <v>59501</v>
      </c>
      <c r="AI148" s="47"/>
      <c r="AJ148" s="115" t="s">
        <v>764</v>
      </c>
      <c r="AK148" s="115"/>
      <c r="AL148" s="115"/>
      <c r="AM148" s="115"/>
      <c r="AN148" s="115"/>
      <c r="AO148" s="115"/>
      <c r="AP148" s="115"/>
      <c r="AQ148" s="115"/>
      <c r="AR148" s="115"/>
      <c r="AS148" s="115"/>
      <c r="AT148" s="112"/>
      <c r="AU148" s="113">
        <v>20</v>
      </c>
      <c r="AW148" s="113"/>
      <c r="AX148" s="113">
        <v>16</v>
      </c>
      <c r="AY148" s="113">
        <v>4</v>
      </c>
      <c r="AZ148" s="113" t="s">
        <v>419</v>
      </c>
      <c r="BA148" s="113"/>
      <c r="BB148" s="113"/>
      <c r="BC148" s="113"/>
      <c r="BD148" s="113"/>
      <c r="BR148" s="52">
        <v>2872069</v>
      </c>
      <c r="BS148" s="52" t="e">
        <f>VLOOKUP(M148,#REF!,2,TRUE)*(BR148/1000000)</f>
        <v>#REF!</v>
      </c>
      <c r="BT148" s="43" t="e">
        <f>VLOOKUP(M148,#REF!,3,TRUE)*(BR148/1000000)</f>
        <v>#REF!</v>
      </c>
    </row>
    <row r="149" spans="1:72" s="93" customFormat="1" ht="15" customHeight="1" x14ac:dyDescent="0.25">
      <c r="A149" s="8">
        <v>40520</v>
      </c>
      <c r="B149" s="36">
        <v>2010</v>
      </c>
      <c r="C149" s="36" t="s">
        <v>1014</v>
      </c>
      <c r="D149" s="1" t="s">
        <v>754</v>
      </c>
      <c r="E149" s="1" t="s">
        <v>870</v>
      </c>
      <c r="F149" s="1" t="s">
        <v>755</v>
      </c>
      <c r="G149" s="38">
        <v>59847</v>
      </c>
      <c r="H149" s="39"/>
      <c r="I149" s="39"/>
      <c r="J149" s="1" t="s">
        <v>338</v>
      </c>
      <c r="K149" s="40">
        <v>0.09</v>
      </c>
      <c r="L149" s="36" t="s">
        <v>84</v>
      </c>
      <c r="M149" s="1" t="s">
        <v>1169</v>
      </c>
      <c r="N149" s="36" t="s">
        <v>45</v>
      </c>
      <c r="O149" s="113">
        <v>40</v>
      </c>
      <c r="P149" s="36">
        <v>2</v>
      </c>
      <c r="Q149" s="43">
        <v>6075000</v>
      </c>
      <c r="R149" s="43"/>
      <c r="S149" s="43"/>
      <c r="T149" s="43"/>
      <c r="U149" s="53"/>
      <c r="V149" s="45"/>
      <c r="W149" s="8">
        <v>40752</v>
      </c>
      <c r="X149" s="8"/>
      <c r="Y149" s="8">
        <f t="shared" si="44"/>
        <v>40752</v>
      </c>
      <c r="Z149" s="46">
        <f t="shared" si="45"/>
        <v>45866</v>
      </c>
      <c r="AA149" s="4">
        <v>31</v>
      </c>
      <c r="AB149" s="46">
        <f t="shared" si="48"/>
        <v>57189</v>
      </c>
      <c r="AC149" s="115" t="s">
        <v>756</v>
      </c>
      <c r="AD149" s="115" t="s">
        <v>757</v>
      </c>
      <c r="AE149" s="115" t="s">
        <v>758</v>
      </c>
      <c r="AF149" s="115" t="s">
        <v>338</v>
      </c>
      <c r="AG149" s="115" t="s">
        <v>472</v>
      </c>
      <c r="AH149" s="36">
        <v>59802</v>
      </c>
      <c r="AI149" s="47"/>
      <c r="AJ149" s="122" t="s">
        <v>92</v>
      </c>
      <c r="AK149" s="122"/>
      <c r="AL149" s="122"/>
      <c r="AM149" s="122"/>
      <c r="AN149" s="122"/>
      <c r="AO149" s="122"/>
      <c r="AP149" s="122"/>
      <c r="AQ149" s="122"/>
      <c r="AR149" s="122"/>
      <c r="AS149" s="122"/>
      <c r="AT149" s="112"/>
      <c r="AU149" s="113">
        <v>40</v>
      </c>
      <c r="AV149" s="1"/>
      <c r="AW149" s="113"/>
      <c r="AX149" s="113" t="s">
        <v>419</v>
      </c>
      <c r="AY149" s="113">
        <v>20</v>
      </c>
      <c r="AZ149" s="113">
        <v>20</v>
      </c>
      <c r="BA149" s="115"/>
      <c r="BB149" s="115"/>
      <c r="BC149" s="115"/>
      <c r="BD149" s="115"/>
      <c r="BE149" s="1"/>
      <c r="BF149" s="92"/>
      <c r="BG149" s="92"/>
      <c r="BH149" s="92"/>
      <c r="BI149" s="92"/>
      <c r="BJ149" s="92"/>
      <c r="BK149" s="92"/>
      <c r="BL149" s="92"/>
      <c r="BM149" s="92"/>
      <c r="BN149" s="92"/>
      <c r="BR149" s="52">
        <v>6222845</v>
      </c>
      <c r="BS149" s="52" t="e">
        <f>VLOOKUP(M149,#REF!,2,TRUE)*(BR149/1000000)</f>
        <v>#REF!</v>
      </c>
      <c r="BT149" s="43" t="e">
        <f>VLOOKUP(M149,#REF!,3,TRUE)*(BR149/1000000)</f>
        <v>#REF!</v>
      </c>
    </row>
    <row r="150" spans="1:72" s="93" customFormat="1" ht="15" customHeight="1" x14ac:dyDescent="0.25">
      <c r="A150" s="8"/>
      <c r="B150" s="36">
        <v>2009</v>
      </c>
      <c r="C150" s="36" t="s">
        <v>1014</v>
      </c>
      <c r="D150" s="1" t="s">
        <v>1533</v>
      </c>
      <c r="E150" s="1" t="s">
        <v>1430</v>
      </c>
      <c r="F150" s="1" t="s">
        <v>1041</v>
      </c>
      <c r="G150" s="38">
        <v>59632</v>
      </c>
      <c r="H150" s="39"/>
      <c r="I150" s="39"/>
      <c r="J150" s="1" t="s">
        <v>733</v>
      </c>
      <c r="K150" s="1" t="s">
        <v>1016</v>
      </c>
      <c r="L150" s="36" t="s">
        <v>426</v>
      </c>
      <c r="M150" s="1" t="s">
        <v>1169</v>
      </c>
      <c r="N150" s="36" t="s">
        <v>45</v>
      </c>
      <c r="O150" s="36">
        <v>36</v>
      </c>
      <c r="P150" s="36">
        <v>2</v>
      </c>
      <c r="Q150" s="108">
        <v>10000</v>
      </c>
      <c r="R150" s="108"/>
      <c r="S150" s="108"/>
      <c r="T150" s="108"/>
      <c r="U150" s="109"/>
      <c r="V150" s="110"/>
      <c r="W150" s="8">
        <v>40632</v>
      </c>
      <c r="X150" s="8"/>
      <c r="Y150" s="8">
        <f t="shared" si="44"/>
        <v>40632</v>
      </c>
      <c r="Z150" s="46">
        <f t="shared" si="45"/>
        <v>45746</v>
      </c>
      <c r="AA150" s="4">
        <v>31</v>
      </c>
      <c r="AB150" s="46">
        <f t="shared" si="48"/>
        <v>57069</v>
      </c>
      <c r="AC150" s="1" t="s">
        <v>491</v>
      </c>
      <c r="AD150" s="1" t="s">
        <v>492</v>
      </c>
      <c r="AE150" s="1" t="s">
        <v>493</v>
      </c>
      <c r="AF150" s="1" t="s">
        <v>494</v>
      </c>
      <c r="AG150" s="1" t="s">
        <v>472</v>
      </c>
      <c r="AH150" s="36">
        <v>59645</v>
      </c>
      <c r="AI150" s="47"/>
      <c r="AJ150" s="1" t="s">
        <v>495</v>
      </c>
      <c r="AK150" s="1"/>
      <c r="AL150" s="1"/>
      <c r="AM150" s="1"/>
      <c r="AN150" s="1"/>
      <c r="AO150" s="1"/>
      <c r="AP150" s="1"/>
      <c r="AQ150" s="1"/>
      <c r="AR150" s="1"/>
      <c r="AS150" s="1"/>
      <c r="AT150" s="56"/>
      <c r="AU150" s="36">
        <v>10</v>
      </c>
      <c r="AV150" s="1"/>
      <c r="AW150" s="1"/>
      <c r="AX150" s="1"/>
      <c r="AY150" s="1">
        <v>8</v>
      </c>
      <c r="AZ150" s="1">
        <v>2</v>
      </c>
      <c r="BA150" s="1"/>
      <c r="BB150" s="1"/>
      <c r="BC150" s="1"/>
      <c r="BD150" s="1"/>
      <c r="BE150" s="1"/>
      <c r="BF150" s="92"/>
      <c r="BG150" s="92"/>
      <c r="BH150" s="92"/>
      <c r="BI150" s="92"/>
      <c r="BJ150" s="92"/>
      <c r="BK150" s="92"/>
      <c r="BL150" s="92"/>
      <c r="BM150" s="92"/>
      <c r="BN150" s="92"/>
      <c r="BR150" s="52">
        <v>2872069</v>
      </c>
      <c r="BS150" s="52" t="e">
        <f>VLOOKUP(M150,#REF!,2,TRUE)*(BR150/1000000)</f>
        <v>#REF!</v>
      </c>
      <c r="BT150" s="43" t="e">
        <f>VLOOKUP(M150,#REF!,3,TRUE)*(BR150/1000000)</f>
        <v>#REF!</v>
      </c>
    </row>
    <row r="151" spans="1:72" ht="15" customHeight="1" x14ac:dyDescent="0.25">
      <c r="A151" s="8">
        <v>40157</v>
      </c>
      <c r="B151" s="36">
        <v>2009</v>
      </c>
      <c r="C151" s="36" t="s">
        <v>1014</v>
      </c>
      <c r="D151" s="1" t="s">
        <v>737</v>
      </c>
      <c r="E151" s="1" t="s">
        <v>734</v>
      </c>
      <c r="F151" s="1" t="s">
        <v>338</v>
      </c>
      <c r="G151" s="38">
        <v>59808</v>
      </c>
      <c r="J151" s="1" t="s">
        <v>338</v>
      </c>
      <c r="K151" s="1" t="s">
        <v>1015</v>
      </c>
      <c r="L151" s="36" t="s">
        <v>429</v>
      </c>
      <c r="M151" s="1" t="s">
        <v>1169</v>
      </c>
      <c r="N151" s="36" t="s">
        <v>45</v>
      </c>
      <c r="O151" s="36">
        <v>34</v>
      </c>
      <c r="P151" s="36">
        <v>1</v>
      </c>
      <c r="Q151" s="108">
        <v>0</v>
      </c>
      <c r="R151" s="108"/>
      <c r="S151" s="108"/>
      <c r="T151" s="108"/>
      <c r="U151" s="109"/>
      <c r="V151" s="110"/>
      <c r="W151" s="8">
        <v>40847</v>
      </c>
      <c r="Y151" s="8">
        <f t="shared" si="44"/>
        <v>40847</v>
      </c>
      <c r="Z151" s="46">
        <f t="shared" si="45"/>
        <v>45961</v>
      </c>
      <c r="AA151" s="4">
        <v>31</v>
      </c>
      <c r="AB151" s="46">
        <f t="shared" si="48"/>
        <v>57284</v>
      </c>
      <c r="AC151" s="1" t="s">
        <v>735</v>
      </c>
      <c r="AD151" s="1" t="s">
        <v>520</v>
      </c>
      <c r="AE151" s="1" t="s">
        <v>736</v>
      </c>
      <c r="AF151" s="1" t="s">
        <v>15</v>
      </c>
      <c r="AG151" s="1" t="s">
        <v>472</v>
      </c>
      <c r="AH151" s="36" t="s">
        <v>183</v>
      </c>
      <c r="AI151" s="47"/>
      <c r="AJ151" s="10" t="s">
        <v>580</v>
      </c>
      <c r="AK151" s="10"/>
      <c r="AL151" s="10"/>
      <c r="AM151" s="10"/>
      <c r="AN151" s="10"/>
      <c r="AO151" s="10"/>
      <c r="AP151" s="10"/>
      <c r="AQ151" s="10"/>
      <c r="AR151" s="10"/>
      <c r="AS151" s="10"/>
      <c r="AU151" s="36">
        <v>36</v>
      </c>
      <c r="AX151" s="1">
        <v>18</v>
      </c>
      <c r="AY151" s="36">
        <v>18</v>
      </c>
      <c r="AZ151" s="36"/>
      <c r="BE151" s="36"/>
      <c r="BR151" s="52">
        <v>7691408</v>
      </c>
      <c r="BS151" s="52" t="e">
        <f>VLOOKUP(M151,#REF!,2,TRUE)*(BR151/1000000)</f>
        <v>#REF!</v>
      </c>
      <c r="BT151" s="43" t="e">
        <f>VLOOKUP(M151,#REF!,3,TRUE)*(BR151/1000000)</f>
        <v>#REF!</v>
      </c>
    </row>
    <row r="152" spans="1:72" s="93" customFormat="1" ht="15" customHeight="1" x14ac:dyDescent="0.25">
      <c r="A152" s="8">
        <v>40157</v>
      </c>
      <c r="B152" s="36">
        <v>2009</v>
      </c>
      <c r="C152" s="36" t="s">
        <v>1014</v>
      </c>
      <c r="D152" s="1" t="s">
        <v>1532</v>
      </c>
      <c r="E152" s="1" t="s">
        <v>893</v>
      </c>
      <c r="F152" s="1" t="s">
        <v>47</v>
      </c>
      <c r="G152" s="38">
        <v>59457</v>
      </c>
      <c r="H152" s="39">
        <v>47.069209999999998</v>
      </c>
      <c r="I152" s="39">
        <v>-109.41952999999999</v>
      </c>
      <c r="J152" s="1" t="s">
        <v>207</v>
      </c>
      <c r="K152" s="1" t="s">
        <v>1015</v>
      </c>
      <c r="L152" s="36" t="s">
        <v>426</v>
      </c>
      <c r="M152" s="1" t="s">
        <v>1169</v>
      </c>
      <c r="N152" s="36" t="s">
        <v>45</v>
      </c>
      <c r="O152" s="36">
        <v>24</v>
      </c>
      <c r="P152" s="36">
        <v>3</v>
      </c>
      <c r="Q152" s="108">
        <v>0</v>
      </c>
      <c r="R152" s="108"/>
      <c r="S152" s="108"/>
      <c r="T152" s="108"/>
      <c r="U152" s="109"/>
      <c r="V152" s="110"/>
      <c r="W152" s="8">
        <v>40436</v>
      </c>
      <c r="X152" s="8"/>
      <c r="Y152" s="8">
        <f t="shared" si="44"/>
        <v>40436</v>
      </c>
      <c r="Z152" s="46">
        <f t="shared" si="45"/>
        <v>45550</v>
      </c>
      <c r="AA152" s="4">
        <v>31</v>
      </c>
      <c r="AB152" s="46">
        <f t="shared" si="48"/>
        <v>56872</v>
      </c>
      <c r="AC152" s="1" t="s">
        <v>721</v>
      </c>
      <c r="AD152" s="1" t="s">
        <v>676</v>
      </c>
      <c r="AE152" s="1" t="s">
        <v>70</v>
      </c>
      <c r="AF152" s="1" t="s">
        <v>20</v>
      </c>
      <c r="AG152" s="1" t="s">
        <v>472</v>
      </c>
      <c r="AH152" s="36">
        <v>59802</v>
      </c>
      <c r="AI152" s="47"/>
      <c r="AJ152" s="10" t="s">
        <v>722</v>
      </c>
      <c r="AK152" s="10"/>
      <c r="AL152" s="10"/>
      <c r="AM152" s="10"/>
      <c r="AN152" s="10"/>
      <c r="AO152" s="10"/>
      <c r="AP152" s="10"/>
      <c r="AQ152" s="10"/>
      <c r="AR152" s="10"/>
      <c r="AS152" s="10"/>
      <c r="AT152" s="56"/>
      <c r="AU152" s="36">
        <v>34</v>
      </c>
      <c r="AV152" s="1"/>
      <c r="AW152" s="1">
        <v>4</v>
      </c>
      <c r="AX152" s="1">
        <v>19</v>
      </c>
      <c r="AY152" s="36">
        <v>11</v>
      </c>
      <c r="AZ152" s="36"/>
      <c r="BA152" s="1"/>
      <c r="BB152" s="1"/>
      <c r="BC152" s="1"/>
      <c r="BD152" s="1"/>
      <c r="BE152" s="36"/>
      <c r="BF152" s="92"/>
      <c r="BG152" s="92"/>
      <c r="BH152" s="92"/>
      <c r="BI152" s="92"/>
      <c r="BJ152" s="92"/>
      <c r="BK152" s="92"/>
      <c r="BL152" s="92"/>
      <c r="BM152" s="92"/>
      <c r="BN152" s="92"/>
      <c r="BR152" s="52">
        <v>8200558</v>
      </c>
      <c r="BS152" s="52" t="e">
        <f>VLOOKUP(M152,#REF!,2,TRUE)*(BR152/1000000)</f>
        <v>#REF!</v>
      </c>
      <c r="BT152" s="43" t="e">
        <f>VLOOKUP(M152,#REF!,3,TRUE)*(BR152/1000000)</f>
        <v>#REF!</v>
      </c>
    </row>
    <row r="153" spans="1:72" ht="15" customHeight="1" x14ac:dyDescent="0.25">
      <c r="A153" s="8">
        <v>40157</v>
      </c>
      <c r="B153" s="36">
        <v>2009</v>
      </c>
      <c r="C153" s="36" t="s">
        <v>1014</v>
      </c>
      <c r="D153" s="1" t="s">
        <v>1453</v>
      </c>
      <c r="E153" s="1" t="s">
        <v>1429</v>
      </c>
      <c r="F153" s="1" t="s">
        <v>65</v>
      </c>
      <c r="G153" s="38">
        <v>59401</v>
      </c>
      <c r="J153" s="1" t="s">
        <v>308</v>
      </c>
      <c r="K153" s="1" t="s">
        <v>1015</v>
      </c>
      <c r="L153" s="123" t="s">
        <v>307</v>
      </c>
      <c r="M153" s="1" t="s">
        <v>307</v>
      </c>
      <c r="N153" s="36" t="s">
        <v>45</v>
      </c>
      <c r="O153" s="36">
        <v>40</v>
      </c>
      <c r="P153" s="36">
        <v>2</v>
      </c>
      <c r="Q153" s="108">
        <v>0</v>
      </c>
      <c r="R153" s="108"/>
      <c r="S153" s="108"/>
      <c r="T153" s="108"/>
      <c r="U153" s="109"/>
      <c r="V153" s="110"/>
      <c r="W153" s="8">
        <v>40543</v>
      </c>
      <c r="X153" s="8">
        <v>40522</v>
      </c>
      <c r="Y153" s="8">
        <f t="shared" si="44"/>
        <v>40543</v>
      </c>
      <c r="Z153" s="46">
        <f t="shared" si="45"/>
        <v>45657</v>
      </c>
      <c r="AA153" s="4">
        <v>31</v>
      </c>
      <c r="AB153" s="46">
        <f t="shared" si="48"/>
        <v>56979</v>
      </c>
      <c r="AC153" s="1" t="s">
        <v>704</v>
      </c>
      <c r="AD153" s="1" t="s">
        <v>676</v>
      </c>
      <c r="AE153" s="1" t="s">
        <v>70</v>
      </c>
      <c r="AF153" s="1" t="s">
        <v>20</v>
      </c>
      <c r="AG153" s="1" t="s">
        <v>472</v>
      </c>
      <c r="AH153" s="36">
        <v>59802</v>
      </c>
      <c r="AI153" s="87"/>
      <c r="AJ153" s="10" t="s">
        <v>589</v>
      </c>
      <c r="AK153" s="10"/>
      <c r="AL153" s="10"/>
      <c r="AM153" s="10"/>
      <c r="AN153" s="10"/>
      <c r="AO153" s="10"/>
      <c r="AP153" s="10"/>
      <c r="AQ153" s="10"/>
      <c r="AR153" s="10"/>
      <c r="AS153" s="10"/>
      <c r="AU153" s="36">
        <v>24</v>
      </c>
      <c r="AX153" s="1">
        <v>4</v>
      </c>
      <c r="AY153" s="36">
        <v>14</v>
      </c>
      <c r="AZ153" s="36">
        <v>6</v>
      </c>
      <c r="BE153" s="36"/>
      <c r="BR153" s="52">
        <v>5432616</v>
      </c>
      <c r="BS153" s="52" t="e">
        <f>VLOOKUP(M153,#REF!,2,TRUE)*(BR153/1000000)</f>
        <v>#REF!</v>
      </c>
      <c r="BT153" s="43" t="e">
        <f>VLOOKUP(M153,#REF!,3,TRUE)*(BR153/1000000)</f>
        <v>#REF!</v>
      </c>
    </row>
    <row r="154" spans="1:72" ht="15" customHeight="1" x14ac:dyDescent="0.25">
      <c r="A154" s="8">
        <v>40157</v>
      </c>
      <c r="B154" s="36">
        <v>2009</v>
      </c>
      <c r="C154" s="36" t="s">
        <v>1014</v>
      </c>
      <c r="D154" s="1" t="s">
        <v>1531</v>
      </c>
      <c r="E154" s="1" t="s">
        <v>875</v>
      </c>
      <c r="F154" s="1" t="s">
        <v>60</v>
      </c>
      <c r="G154" s="38">
        <v>59701</v>
      </c>
      <c r="J154" s="1" t="s">
        <v>437</v>
      </c>
      <c r="K154" s="1" t="s">
        <v>1015</v>
      </c>
      <c r="L154" s="36" t="s">
        <v>71</v>
      </c>
      <c r="M154" s="1" t="s">
        <v>1169</v>
      </c>
      <c r="N154" s="36" t="s">
        <v>45</v>
      </c>
      <c r="O154" s="36">
        <v>11</v>
      </c>
      <c r="P154" s="36">
        <v>4</v>
      </c>
      <c r="Q154" s="108">
        <v>0</v>
      </c>
      <c r="R154" s="108"/>
      <c r="S154" s="108"/>
      <c r="T154" s="108"/>
      <c r="U154" s="109"/>
      <c r="V154" s="110"/>
      <c r="W154" s="8">
        <v>40514</v>
      </c>
      <c r="Y154" s="8">
        <f t="shared" si="44"/>
        <v>40514</v>
      </c>
      <c r="Z154" s="46">
        <f t="shared" si="45"/>
        <v>45628</v>
      </c>
      <c r="AA154" s="4">
        <v>31</v>
      </c>
      <c r="AB154" s="46">
        <f t="shared" si="48"/>
        <v>56950</v>
      </c>
      <c r="AC154" s="1" t="s">
        <v>66</v>
      </c>
      <c r="AD154" s="1" t="s">
        <v>67</v>
      </c>
      <c r="AE154" s="1" t="s">
        <v>68</v>
      </c>
      <c r="AF154" s="1" t="s">
        <v>74</v>
      </c>
      <c r="AG154" s="1" t="s">
        <v>72</v>
      </c>
      <c r="AH154" s="36">
        <v>48076</v>
      </c>
      <c r="AI154" s="47"/>
      <c r="AJ154" s="1" t="s">
        <v>69</v>
      </c>
      <c r="AU154" s="36">
        <v>40</v>
      </c>
      <c r="AW154" s="36"/>
      <c r="AX154" s="36"/>
      <c r="AY154" s="36"/>
      <c r="AZ154" s="36">
        <v>40</v>
      </c>
      <c r="BA154" s="36"/>
      <c r="BB154" s="36"/>
      <c r="BC154" s="36"/>
      <c r="BD154" s="36"/>
      <c r="BE154" s="36"/>
      <c r="BR154" s="52">
        <v>3976200</v>
      </c>
      <c r="BS154" s="52" t="e">
        <f>VLOOKUP(M154,#REF!,2,TRUE)*(BR154/1000000)</f>
        <v>#REF!</v>
      </c>
      <c r="BT154" s="43" t="e">
        <f>VLOOKUP(M154,#REF!,3,TRUE)*(BR154/1000000)</f>
        <v>#REF!</v>
      </c>
    </row>
    <row r="155" spans="1:72" ht="15" customHeight="1" x14ac:dyDescent="0.25">
      <c r="A155" s="8">
        <v>40157</v>
      </c>
      <c r="B155" s="36">
        <v>2009</v>
      </c>
      <c r="C155" s="36" t="s">
        <v>1014</v>
      </c>
      <c r="D155" s="1" t="s">
        <v>1530</v>
      </c>
      <c r="E155" s="1" t="s">
        <v>876</v>
      </c>
      <c r="F155" s="1" t="s">
        <v>192</v>
      </c>
      <c r="G155" s="38">
        <v>59101</v>
      </c>
      <c r="J155" s="1" t="s">
        <v>898</v>
      </c>
      <c r="K155" s="1" t="s">
        <v>765</v>
      </c>
      <c r="L155" s="36" t="s">
        <v>84</v>
      </c>
      <c r="M155" s="1" t="s">
        <v>1169</v>
      </c>
      <c r="N155" s="36" t="s">
        <v>45</v>
      </c>
      <c r="O155" s="36">
        <v>32</v>
      </c>
      <c r="P155" s="36">
        <v>8</v>
      </c>
      <c r="Q155" s="108">
        <v>10000</v>
      </c>
      <c r="R155" s="108"/>
      <c r="S155" s="108"/>
      <c r="T155" s="108"/>
      <c r="U155" s="109"/>
      <c r="V155" s="110"/>
      <c r="W155" s="8">
        <v>40690</v>
      </c>
      <c r="Y155" s="8">
        <f t="shared" si="44"/>
        <v>40690</v>
      </c>
      <c r="Z155" s="46">
        <f t="shared" si="45"/>
        <v>45804</v>
      </c>
      <c r="AA155" s="4">
        <v>31</v>
      </c>
      <c r="AB155" s="46">
        <f t="shared" si="48"/>
        <v>57127</v>
      </c>
      <c r="AC155" s="1" t="s">
        <v>61</v>
      </c>
      <c r="AD155" s="1" t="s">
        <v>62</v>
      </c>
      <c r="AE155" s="1" t="s">
        <v>63</v>
      </c>
      <c r="AF155" s="1" t="s">
        <v>60</v>
      </c>
      <c r="AG155" s="1" t="s">
        <v>472</v>
      </c>
      <c r="AH155" s="36">
        <v>59701</v>
      </c>
      <c r="AI155" s="47"/>
      <c r="AJ155" s="1" t="s">
        <v>64</v>
      </c>
      <c r="AU155" s="36">
        <v>11</v>
      </c>
      <c r="AW155" s="36"/>
      <c r="AX155" s="36"/>
      <c r="AY155" s="36">
        <v>9</v>
      </c>
      <c r="AZ155" s="36">
        <v>2</v>
      </c>
      <c r="BA155" s="36"/>
      <c r="BB155" s="36"/>
      <c r="BC155" s="36"/>
      <c r="BD155" s="36"/>
      <c r="BE155" s="36"/>
      <c r="BR155" s="52">
        <v>2012267</v>
      </c>
      <c r="BS155" s="52" t="e">
        <f>VLOOKUP(M155,#REF!,2,TRUE)*(BR155/1000000)</f>
        <v>#REF!</v>
      </c>
      <c r="BT155" s="43" t="e">
        <f>VLOOKUP(M155,#REF!,3,TRUE)*(BR155/1000000)</f>
        <v>#REF!</v>
      </c>
    </row>
    <row r="156" spans="1:72" ht="15" customHeight="1" x14ac:dyDescent="0.25">
      <c r="A156" s="8">
        <v>40157</v>
      </c>
      <c r="B156" s="36">
        <v>2009</v>
      </c>
      <c r="C156" s="36" t="s">
        <v>1014</v>
      </c>
      <c r="D156" s="1" t="s">
        <v>1529</v>
      </c>
      <c r="E156" s="1" t="s">
        <v>500</v>
      </c>
      <c r="F156" s="1" t="s">
        <v>46</v>
      </c>
      <c r="G156" s="38">
        <v>59901</v>
      </c>
      <c r="J156" s="1" t="s">
        <v>343</v>
      </c>
      <c r="K156" s="1" t="s">
        <v>1017</v>
      </c>
      <c r="L156" s="36" t="s">
        <v>84</v>
      </c>
      <c r="M156" s="1" t="s">
        <v>1169</v>
      </c>
      <c r="N156" s="36" t="s">
        <v>45</v>
      </c>
      <c r="O156" s="36">
        <v>33</v>
      </c>
      <c r="P156" s="36">
        <v>4</v>
      </c>
      <c r="Q156" s="108">
        <v>6617500</v>
      </c>
      <c r="R156" s="108"/>
      <c r="S156" s="108"/>
      <c r="T156" s="108"/>
      <c r="U156" s="109"/>
      <c r="V156" s="110"/>
      <c r="W156" s="8">
        <v>40613</v>
      </c>
      <c r="Y156" s="8">
        <f t="shared" si="44"/>
        <v>40613</v>
      </c>
      <c r="Z156" s="46">
        <f t="shared" si="45"/>
        <v>45727</v>
      </c>
      <c r="AA156" s="4">
        <v>15</v>
      </c>
      <c r="AB156" s="46">
        <f t="shared" si="48"/>
        <v>51206</v>
      </c>
      <c r="AC156" s="1" t="s">
        <v>1888</v>
      </c>
      <c r="AD156" s="1" t="s">
        <v>288</v>
      </c>
      <c r="AE156" s="1" t="s">
        <v>502</v>
      </c>
      <c r="AF156" s="1" t="s">
        <v>20</v>
      </c>
      <c r="AG156" s="1" t="s">
        <v>472</v>
      </c>
      <c r="AH156" s="36">
        <v>59803</v>
      </c>
      <c r="AI156" s="47"/>
      <c r="AJ156" s="1" t="s">
        <v>59</v>
      </c>
      <c r="AU156" s="36">
        <v>33</v>
      </c>
      <c r="AW156" s="36"/>
      <c r="AX156" s="36"/>
      <c r="AY156" s="36">
        <v>20</v>
      </c>
      <c r="AZ156" s="36">
        <v>10</v>
      </c>
      <c r="BA156" s="36">
        <v>2</v>
      </c>
      <c r="BB156" s="36"/>
      <c r="BC156" s="36"/>
      <c r="BD156" s="36"/>
      <c r="BE156" s="36">
        <v>1</v>
      </c>
      <c r="BR156" s="52">
        <v>7277918</v>
      </c>
      <c r="BS156" s="52" t="e">
        <f>VLOOKUP(M156,#REF!,2,TRUE)*(BR156/1000000)</f>
        <v>#REF!</v>
      </c>
      <c r="BT156" s="43" t="e">
        <f>VLOOKUP(M156,#REF!,3,TRUE)*(BR156/1000000)</f>
        <v>#REF!</v>
      </c>
    </row>
    <row r="157" spans="1:72" ht="15" customHeight="1" x14ac:dyDescent="0.25">
      <c r="A157" s="8">
        <v>40157</v>
      </c>
      <c r="B157" s="36">
        <v>2009</v>
      </c>
      <c r="C157" s="36" t="s">
        <v>1014</v>
      </c>
      <c r="D157" s="1" t="s">
        <v>1528</v>
      </c>
      <c r="E157" s="1" t="s">
        <v>49</v>
      </c>
      <c r="F157" s="1" t="s">
        <v>50</v>
      </c>
      <c r="G157" s="38">
        <v>59872</v>
      </c>
      <c r="J157" s="1" t="s">
        <v>51</v>
      </c>
      <c r="K157" s="1" t="s">
        <v>1017</v>
      </c>
      <c r="L157" s="36" t="s">
        <v>426</v>
      </c>
      <c r="M157" s="1" t="s">
        <v>1169</v>
      </c>
      <c r="N157" s="36" t="s">
        <v>45</v>
      </c>
      <c r="O157" s="36">
        <v>24</v>
      </c>
      <c r="P157" s="36">
        <v>4</v>
      </c>
      <c r="Q157" s="108">
        <v>4662500</v>
      </c>
      <c r="R157" s="108"/>
      <c r="S157" s="108"/>
      <c r="T157" s="108"/>
      <c r="U157" s="109"/>
      <c r="V157" s="110"/>
      <c r="W157" s="8">
        <v>40606</v>
      </c>
      <c r="Y157" s="8">
        <f t="shared" si="44"/>
        <v>40606</v>
      </c>
      <c r="Z157" s="46">
        <f t="shared" si="45"/>
        <v>45720</v>
      </c>
      <c r="AA157" s="4">
        <v>35</v>
      </c>
      <c r="AB157" s="46">
        <f t="shared" si="48"/>
        <v>58504</v>
      </c>
      <c r="AC157" s="1" t="s">
        <v>56</v>
      </c>
      <c r="AD157" s="1" t="s">
        <v>577</v>
      </c>
      <c r="AE157" s="1" t="s">
        <v>57</v>
      </c>
      <c r="AF157" s="1" t="s">
        <v>73</v>
      </c>
      <c r="AG157" s="1" t="s">
        <v>472</v>
      </c>
      <c r="AH157" s="36">
        <v>59803</v>
      </c>
      <c r="AI157" s="47"/>
      <c r="AJ157" s="1" t="s">
        <v>581</v>
      </c>
      <c r="AU157" s="36">
        <v>24</v>
      </c>
      <c r="AW157" s="36"/>
      <c r="AX157" s="36"/>
      <c r="AY157" s="36">
        <v>12</v>
      </c>
      <c r="AZ157" s="36">
        <v>12</v>
      </c>
      <c r="BA157" s="36"/>
      <c r="BB157" s="36"/>
      <c r="BC157" s="36"/>
      <c r="BD157" s="36"/>
      <c r="BE157" s="36"/>
      <c r="BR157" s="52">
        <v>6528589</v>
      </c>
      <c r="BS157" s="52" t="e">
        <f>VLOOKUP(M157,#REF!,2,TRUE)*(BR157/1000000)</f>
        <v>#REF!</v>
      </c>
      <c r="BT157" s="43" t="e">
        <f>VLOOKUP(M157,#REF!,3,TRUE)*(BR157/1000000)</f>
        <v>#REF!</v>
      </c>
    </row>
    <row r="158" spans="1:72" ht="15" customHeight="1" x14ac:dyDescent="0.25">
      <c r="A158" s="8">
        <v>40157</v>
      </c>
      <c r="B158" s="36">
        <v>2008</v>
      </c>
      <c r="C158" s="36" t="s">
        <v>1014</v>
      </c>
      <c r="D158" s="1" t="s">
        <v>1735</v>
      </c>
      <c r="E158" s="1" t="s">
        <v>267</v>
      </c>
      <c r="F158" s="1" t="s">
        <v>46</v>
      </c>
      <c r="G158" s="38">
        <v>59901</v>
      </c>
      <c r="J158" s="1" t="s">
        <v>343</v>
      </c>
      <c r="K158" s="40">
        <v>0.04</v>
      </c>
      <c r="L158" s="36" t="s">
        <v>84</v>
      </c>
      <c r="M158" s="1" t="s">
        <v>307</v>
      </c>
      <c r="N158" s="36" t="s">
        <v>443</v>
      </c>
      <c r="O158" s="41">
        <v>38</v>
      </c>
      <c r="P158" s="36">
        <v>1</v>
      </c>
      <c r="Q158" s="42">
        <v>1179190</v>
      </c>
      <c r="R158" s="42"/>
      <c r="S158" s="42"/>
      <c r="T158" s="42"/>
      <c r="W158" s="8">
        <v>39814</v>
      </c>
      <c r="Y158" s="8">
        <f t="shared" si="44"/>
        <v>39814</v>
      </c>
      <c r="Z158" s="46">
        <f t="shared" si="45"/>
        <v>44927</v>
      </c>
      <c r="AA158" s="4">
        <v>25</v>
      </c>
      <c r="AB158" s="46">
        <f t="shared" si="48"/>
        <v>54058</v>
      </c>
      <c r="AC158" s="1" t="s">
        <v>52</v>
      </c>
      <c r="AD158" s="1" t="s">
        <v>53</v>
      </c>
      <c r="AE158" s="1" t="s">
        <v>54</v>
      </c>
      <c r="AF158" s="1" t="s">
        <v>73</v>
      </c>
      <c r="AG158" s="1" t="s">
        <v>472</v>
      </c>
      <c r="AH158" s="36">
        <v>59801</v>
      </c>
      <c r="AI158" s="47"/>
      <c r="AJ158" s="1" t="s">
        <v>55</v>
      </c>
      <c r="AU158" s="36">
        <v>24</v>
      </c>
      <c r="AW158" s="36"/>
      <c r="AX158" s="36"/>
      <c r="AY158" s="36">
        <v>12</v>
      </c>
      <c r="AZ158" s="36">
        <v>12</v>
      </c>
      <c r="BA158" s="36" t="s">
        <v>419</v>
      </c>
      <c r="BB158" s="36"/>
      <c r="BC158" s="36"/>
      <c r="BD158" s="36"/>
      <c r="BE158" s="36"/>
      <c r="BR158" s="52">
        <v>4729827</v>
      </c>
      <c r="BS158" s="52" t="e">
        <f>VLOOKUP(M158,#REF!,2,TRUE)*(BR158/1000000)</f>
        <v>#REF!</v>
      </c>
      <c r="BT158" s="43" t="e">
        <f>VLOOKUP(M158,#REF!,3,TRUE)*(BR158/1000000)</f>
        <v>#REF!</v>
      </c>
    </row>
    <row r="159" spans="1:72" ht="15" customHeight="1" x14ac:dyDescent="0.25">
      <c r="B159" s="36">
        <v>2008</v>
      </c>
      <c r="C159" s="36" t="s">
        <v>1014</v>
      </c>
      <c r="D159" s="1" t="s">
        <v>1736</v>
      </c>
      <c r="E159" s="1" t="s">
        <v>1428</v>
      </c>
      <c r="F159" s="1" t="s">
        <v>46</v>
      </c>
      <c r="G159" s="38">
        <v>59901</v>
      </c>
      <c r="J159" s="1" t="s">
        <v>343</v>
      </c>
      <c r="K159" s="40">
        <v>0.04</v>
      </c>
      <c r="L159" s="36" t="s">
        <v>84</v>
      </c>
      <c r="M159" s="1" t="s">
        <v>307</v>
      </c>
      <c r="N159" s="36" t="s">
        <v>443</v>
      </c>
      <c r="O159" s="41">
        <v>61</v>
      </c>
      <c r="P159" s="36">
        <v>1</v>
      </c>
      <c r="Q159" s="42">
        <v>1830000</v>
      </c>
      <c r="R159" s="42"/>
      <c r="S159" s="42"/>
      <c r="T159" s="42"/>
      <c r="W159" s="8">
        <v>39814</v>
      </c>
      <c r="Y159" s="8">
        <f t="shared" si="44"/>
        <v>39814</v>
      </c>
      <c r="Z159" s="46">
        <f t="shared" si="45"/>
        <v>44927</v>
      </c>
      <c r="AA159" s="4">
        <v>25</v>
      </c>
      <c r="AB159" s="46">
        <f t="shared" si="48"/>
        <v>54058</v>
      </c>
      <c r="AC159" s="1" t="s">
        <v>541</v>
      </c>
      <c r="AD159" s="1" t="s">
        <v>539</v>
      </c>
      <c r="AE159" s="1" t="s">
        <v>540</v>
      </c>
      <c r="AF159" s="1" t="s">
        <v>542</v>
      </c>
      <c r="AG159" s="1" t="s">
        <v>475</v>
      </c>
      <c r="AH159" s="36">
        <v>92110</v>
      </c>
      <c r="AI159" s="47"/>
      <c r="AJ159" s="1" t="s">
        <v>309</v>
      </c>
      <c r="BR159" s="52">
        <v>3165057</v>
      </c>
      <c r="BS159" s="52" t="e">
        <f>VLOOKUP(M159,#REF!,2,TRUE)*(BR159/1000000)</f>
        <v>#REF!</v>
      </c>
      <c r="BT159" s="43" t="e">
        <f>VLOOKUP(M159,#REF!,3,TRUE)*(BR159/1000000)</f>
        <v>#REF!</v>
      </c>
    </row>
    <row r="160" spans="1:72" ht="15" customHeight="1" x14ac:dyDescent="0.25">
      <c r="A160" s="9"/>
      <c r="B160" s="92">
        <v>2008</v>
      </c>
      <c r="C160" s="92" t="s">
        <v>1578</v>
      </c>
      <c r="D160" s="93" t="s">
        <v>1595</v>
      </c>
      <c r="E160" s="93" t="s">
        <v>220</v>
      </c>
      <c r="F160" s="93" t="s">
        <v>838</v>
      </c>
      <c r="G160" s="95">
        <v>59330</v>
      </c>
      <c r="H160" s="114"/>
      <c r="I160" s="114"/>
      <c r="J160" s="93" t="s">
        <v>206</v>
      </c>
      <c r="K160" s="97">
        <v>0.09</v>
      </c>
      <c r="L160" s="92" t="s">
        <v>426</v>
      </c>
      <c r="M160" s="93" t="s">
        <v>1169</v>
      </c>
      <c r="N160" s="92" t="s">
        <v>443</v>
      </c>
      <c r="O160" s="98">
        <v>18</v>
      </c>
      <c r="P160" s="92">
        <v>1</v>
      </c>
      <c r="Q160" s="99">
        <v>165500</v>
      </c>
      <c r="R160" s="99"/>
      <c r="S160" s="99"/>
      <c r="T160" s="99"/>
      <c r="U160" s="100"/>
      <c r="V160" s="101"/>
      <c r="W160" s="8">
        <v>39814</v>
      </c>
      <c r="Y160" s="8">
        <f t="shared" si="44"/>
        <v>39814</v>
      </c>
      <c r="AA160" s="5"/>
      <c r="AC160" s="93" t="s">
        <v>541</v>
      </c>
      <c r="AD160" s="93" t="s">
        <v>539</v>
      </c>
      <c r="AE160" s="93" t="s">
        <v>540</v>
      </c>
      <c r="AF160" s="93" t="s">
        <v>542</v>
      </c>
      <c r="AG160" s="93" t="s">
        <v>475</v>
      </c>
      <c r="AH160" s="92">
        <v>92110</v>
      </c>
      <c r="AI160" s="47"/>
      <c r="AJ160" s="93"/>
      <c r="AK160" s="93"/>
      <c r="AL160" s="93"/>
      <c r="AM160" s="93"/>
      <c r="AN160" s="93"/>
      <c r="AO160" s="93"/>
      <c r="AP160" s="93"/>
      <c r="AQ160" s="93"/>
      <c r="AR160" s="93"/>
      <c r="AS160" s="93"/>
      <c r="AT160" s="103"/>
      <c r="AU160" s="92"/>
      <c r="AV160" s="93"/>
      <c r="AW160" s="93"/>
      <c r="AX160" s="93"/>
      <c r="AY160" s="93"/>
      <c r="AZ160" s="93"/>
      <c r="BA160" s="93"/>
      <c r="BB160" s="93"/>
      <c r="BC160" s="93"/>
      <c r="BD160" s="93"/>
      <c r="BE160" s="93"/>
      <c r="BR160" s="52">
        <v>4737933</v>
      </c>
      <c r="BS160" s="52" t="e">
        <f>VLOOKUP(M160,#REF!,2,TRUE)*(BR160/1000000)</f>
        <v>#REF!</v>
      </c>
      <c r="BT160" s="43" t="e">
        <f>VLOOKUP(M160,#REF!,3,TRUE)*(BR160/1000000)</f>
        <v>#REF!</v>
      </c>
    </row>
    <row r="161" spans="1:72" ht="15" customHeight="1" x14ac:dyDescent="0.25">
      <c r="B161" s="36">
        <v>2008</v>
      </c>
      <c r="C161" s="36" t="s">
        <v>1014</v>
      </c>
      <c r="D161" s="1" t="s">
        <v>1099</v>
      </c>
      <c r="E161" s="1" t="s">
        <v>503</v>
      </c>
      <c r="F161" s="1" t="s">
        <v>338</v>
      </c>
      <c r="G161" s="38">
        <v>59801</v>
      </c>
      <c r="J161" s="1" t="s">
        <v>338</v>
      </c>
      <c r="K161" s="40">
        <v>0.09</v>
      </c>
      <c r="L161" s="36" t="s">
        <v>84</v>
      </c>
      <c r="M161" s="1" t="s">
        <v>1169</v>
      </c>
      <c r="N161" s="36" t="s">
        <v>45</v>
      </c>
      <c r="O161" s="41">
        <v>37</v>
      </c>
      <c r="P161" s="36">
        <v>3</v>
      </c>
      <c r="Q161" s="42">
        <v>4740710</v>
      </c>
      <c r="R161" s="42"/>
      <c r="S161" s="42"/>
      <c r="T161" s="42"/>
      <c r="W161" s="8">
        <v>40160</v>
      </c>
      <c r="Y161" s="8">
        <f t="shared" si="44"/>
        <v>40160</v>
      </c>
      <c r="Z161" s="46">
        <f t="shared" si="45"/>
        <v>45273</v>
      </c>
      <c r="AA161" s="4">
        <v>31</v>
      </c>
      <c r="AB161" s="46">
        <f>DATE(YEAR(Z161)+AA161,MONTH(Z161),DAY(Z161))</f>
        <v>56596</v>
      </c>
      <c r="AC161" s="1" t="s">
        <v>204</v>
      </c>
      <c r="AD161" s="1" t="s">
        <v>205</v>
      </c>
      <c r="AE161" s="1" t="s">
        <v>214</v>
      </c>
      <c r="AF161" s="1" t="s">
        <v>201</v>
      </c>
      <c r="AG161" s="1" t="s">
        <v>472</v>
      </c>
      <c r="AH161" s="36">
        <v>59330</v>
      </c>
      <c r="AI161" s="47"/>
      <c r="AJ161" s="1" t="s">
        <v>222</v>
      </c>
      <c r="AU161" s="36" t="s">
        <v>419</v>
      </c>
      <c r="AX161" s="1" t="s">
        <v>419</v>
      </c>
      <c r="AY161" s="1" t="s">
        <v>419</v>
      </c>
      <c r="BR161" s="52">
        <v>2287195</v>
      </c>
      <c r="BS161" s="52" t="e">
        <f>VLOOKUP(M161,#REF!,2,TRUE)*(BR161/1000000)</f>
        <v>#REF!</v>
      </c>
      <c r="BT161" s="43" t="e">
        <f>VLOOKUP(M161,#REF!,3,TRUE)*(BR161/1000000)</f>
        <v>#REF!</v>
      </c>
    </row>
    <row r="162" spans="1:72" ht="15" customHeight="1" x14ac:dyDescent="0.25">
      <c r="B162" s="36">
        <v>2008</v>
      </c>
      <c r="C162" s="36" t="s">
        <v>1014</v>
      </c>
      <c r="D162" s="1" t="s">
        <v>1934</v>
      </c>
      <c r="E162" s="1" t="s">
        <v>892</v>
      </c>
      <c r="F162" s="1" t="s">
        <v>912</v>
      </c>
      <c r="G162" s="38">
        <v>59840</v>
      </c>
      <c r="J162" s="1" t="s">
        <v>356</v>
      </c>
      <c r="K162" s="40">
        <v>0.09</v>
      </c>
      <c r="L162" s="36" t="s">
        <v>84</v>
      </c>
      <c r="M162" s="1" t="s">
        <v>1169</v>
      </c>
      <c r="N162" s="36" t="s">
        <v>45</v>
      </c>
      <c r="O162" s="41">
        <v>46</v>
      </c>
      <c r="P162" s="36">
        <v>3</v>
      </c>
      <c r="Q162" s="42">
        <v>5812500</v>
      </c>
      <c r="R162" s="42"/>
      <c r="S162" s="42"/>
      <c r="T162" s="42"/>
      <c r="W162" s="8">
        <v>39993</v>
      </c>
      <c r="Y162" s="8">
        <f t="shared" si="44"/>
        <v>39993</v>
      </c>
      <c r="Z162" s="46">
        <f t="shared" si="45"/>
        <v>45106</v>
      </c>
      <c r="AA162" s="4">
        <v>31</v>
      </c>
      <c r="AB162" s="46">
        <f>DATE(YEAR(Z162)+AA162,MONTH(Z162),DAY(Z162))</f>
        <v>56429</v>
      </c>
      <c r="AC162" s="1" t="s">
        <v>504</v>
      </c>
      <c r="AD162" s="1" t="s">
        <v>505</v>
      </c>
      <c r="AE162" s="1" t="s">
        <v>506</v>
      </c>
      <c r="AF162" s="1" t="s">
        <v>20</v>
      </c>
      <c r="AG162" s="1" t="s">
        <v>472</v>
      </c>
      <c r="AH162" s="36">
        <v>59801</v>
      </c>
      <c r="AI162" s="47"/>
      <c r="AJ162" s="1" t="s">
        <v>507</v>
      </c>
      <c r="AU162" s="36">
        <v>37</v>
      </c>
      <c r="AX162" s="1">
        <v>14</v>
      </c>
      <c r="AY162" s="1">
        <v>17</v>
      </c>
      <c r="AZ162" s="1">
        <v>5</v>
      </c>
      <c r="BE162" s="1">
        <v>1</v>
      </c>
      <c r="BR162" s="52">
        <v>6222845</v>
      </c>
      <c r="BS162" s="52" t="e">
        <f>VLOOKUP(M162,#REF!,2,TRUE)*(BR162/1000000)</f>
        <v>#REF!</v>
      </c>
      <c r="BT162" s="43" t="e">
        <f>VLOOKUP(M162,#REF!,3,TRUE)*(BR162/1000000)</f>
        <v>#REF!</v>
      </c>
    </row>
    <row r="163" spans="1:72" ht="15" customHeight="1" x14ac:dyDescent="0.25">
      <c r="B163" s="36">
        <v>2008</v>
      </c>
      <c r="C163" s="36" t="s">
        <v>1014</v>
      </c>
      <c r="D163" s="1" t="s">
        <v>1527</v>
      </c>
      <c r="E163" s="1" t="s">
        <v>500</v>
      </c>
      <c r="F163" s="1" t="s">
        <v>46</v>
      </c>
      <c r="G163" s="38">
        <v>59901</v>
      </c>
      <c r="J163" s="1" t="s">
        <v>343</v>
      </c>
      <c r="K163" s="40">
        <v>0.09</v>
      </c>
      <c r="L163" s="36" t="s">
        <v>84</v>
      </c>
      <c r="M163" s="1" t="s">
        <v>1169</v>
      </c>
      <c r="N163" s="36" t="s">
        <v>45</v>
      </c>
      <c r="O163" s="41">
        <v>34</v>
      </c>
      <c r="P163" s="36">
        <v>3</v>
      </c>
      <c r="Q163" s="42">
        <v>5800000</v>
      </c>
      <c r="R163" s="42"/>
      <c r="S163" s="42"/>
      <c r="T163" s="42"/>
      <c r="W163" s="8">
        <v>40018</v>
      </c>
      <c r="Y163" s="8">
        <f t="shared" si="44"/>
        <v>40018</v>
      </c>
      <c r="Z163" s="46">
        <f t="shared" si="45"/>
        <v>45131</v>
      </c>
      <c r="AA163" s="4">
        <v>31</v>
      </c>
      <c r="AB163" s="46">
        <f>DATE(YEAR(Z163)+AA163,MONTH(Z163),DAY(Z163))</f>
        <v>56454</v>
      </c>
      <c r="AC163" s="1" t="s">
        <v>701</v>
      </c>
      <c r="AD163" s="1" t="s">
        <v>702</v>
      </c>
      <c r="AE163" s="1" t="s">
        <v>703</v>
      </c>
      <c r="AF163" s="1" t="s">
        <v>20</v>
      </c>
      <c r="AG163" s="1" t="s">
        <v>472</v>
      </c>
      <c r="AH163" s="36">
        <v>59802</v>
      </c>
      <c r="AI163" s="47"/>
      <c r="AJ163" s="1" t="s">
        <v>290</v>
      </c>
      <c r="AU163" s="36">
        <v>46</v>
      </c>
      <c r="AY163" s="1">
        <v>29</v>
      </c>
      <c r="AZ163" s="1">
        <v>17</v>
      </c>
      <c r="BR163" s="52">
        <v>6114912</v>
      </c>
      <c r="BS163" s="52" t="e">
        <f>VLOOKUP(M163,#REF!,2,TRUE)*(BR163/1000000)</f>
        <v>#REF!</v>
      </c>
      <c r="BT163" s="43" t="e">
        <f>VLOOKUP(M163,#REF!,3,TRUE)*(BR163/1000000)</f>
        <v>#REF!</v>
      </c>
    </row>
    <row r="164" spans="1:72" ht="15" customHeight="1" x14ac:dyDescent="0.25">
      <c r="B164" s="36">
        <v>2008</v>
      </c>
      <c r="C164" s="36" t="s">
        <v>1014</v>
      </c>
      <c r="D164" s="1" t="s">
        <v>1526</v>
      </c>
      <c r="E164" s="1" t="s">
        <v>1427</v>
      </c>
      <c r="F164" s="1" t="s">
        <v>1037</v>
      </c>
      <c r="G164" s="38">
        <v>59043</v>
      </c>
      <c r="J164" s="1" t="s">
        <v>408</v>
      </c>
      <c r="K164" s="40">
        <v>0.09</v>
      </c>
      <c r="L164" s="36" t="s">
        <v>454</v>
      </c>
      <c r="M164" s="1" t="s">
        <v>307</v>
      </c>
      <c r="N164" s="36" t="s">
        <v>443</v>
      </c>
      <c r="O164" s="41">
        <v>35</v>
      </c>
      <c r="P164" s="36">
        <v>1</v>
      </c>
      <c r="Q164" s="42">
        <v>3948120</v>
      </c>
      <c r="R164" s="42"/>
      <c r="S164" s="42"/>
      <c r="T164" s="42"/>
      <c r="W164" s="8">
        <v>40197</v>
      </c>
      <c r="Y164" s="8">
        <f t="shared" si="44"/>
        <v>40197</v>
      </c>
      <c r="Z164" s="46">
        <f t="shared" si="45"/>
        <v>45310</v>
      </c>
      <c r="AA164" s="4">
        <v>31</v>
      </c>
      <c r="AB164" s="46">
        <f>DATE(YEAR(Z164)+AA164,MONTH(Z164),DAY(Z164))</f>
        <v>56633</v>
      </c>
      <c r="AC164" s="1" t="s">
        <v>730</v>
      </c>
      <c r="AD164" s="1" t="s">
        <v>288</v>
      </c>
      <c r="AE164" s="1" t="s">
        <v>502</v>
      </c>
      <c r="AF164" s="1" t="s">
        <v>20</v>
      </c>
      <c r="AG164" s="1" t="s">
        <v>472</v>
      </c>
      <c r="AH164" s="36">
        <v>59803</v>
      </c>
      <c r="AI164" s="47"/>
      <c r="AJ164" s="1" t="s">
        <v>501</v>
      </c>
      <c r="AU164" s="36">
        <v>34</v>
      </c>
      <c r="AY164" s="1">
        <v>9</v>
      </c>
      <c r="AZ164" s="1">
        <v>24</v>
      </c>
      <c r="BE164" s="1">
        <v>1</v>
      </c>
      <c r="BR164" s="52">
        <v>6350661</v>
      </c>
      <c r="BS164" s="52" t="e">
        <f>VLOOKUP(M164,#REF!,2,TRUE)*(BR164/1000000)</f>
        <v>#REF!</v>
      </c>
      <c r="BT164" s="43" t="e">
        <f>VLOOKUP(M164,#REF!,3,TRUE)*(BR164/1000000)</f>
        <v>#REF!</v>
      </c>
    </row>
    <row r="165" spans="1:72" ht="15" customHeight="1" x14ac:dyDescent="0.25">
      <c r="B165" s="36">
        <v>2009</v>
      </c>
      <c r="C165" s="36" t="s">
        <v>1014</v>
      </c>
      <c r="D165" s="1" t="s">
        <v>1951</v>
      </c>
      <c r="E165" s="1" t="s">
        <v>1426</v>
      </c>
      <c r="F165" s="1" t="s">
        <v>1046</v>
      </c>
      <c r="G165" s="38">
        <v>59645</v>
      </c>
      <c r="J165" s="1" t="s">
        <v>490</v>
      </c>
      <c r="K165" s="40">
        <v>0.09</v>
      </c>
      <c r="L165" s="36" t="s">
        <v>426</v>
      </c>
      <c r="M165" s="1" t="s">
        <v>1169</v>
      </c>
      <c r="N165" s="36" t="s">
        <v>443</v>
      </c>
      <c r="O165" s="41">
        <v>10</v>
      </c>
      <c r="P165" s="36">
        <v>2</v>
      </c>
      <c r="Q165" s="42">
        <v>237317</v>
      </c>
      <c r="R165" s="42"/>
      <c r="S165" s="42"/>
      <c r="T165" s="42"/>
      <c r="W165" s="8">
        <v>40485</v>
      </c>
      <c r="Y165" s="8">
        <f t="shared" si="44"/>
        <v>40485</v>
      </c>
      <c r="Z165" s="46">
        <f t="shared" si="45"/>
        <v>45599</v>
      </c>
      <c r="AA165" s="4">
        <v>31</v>
      </c>
      <c r="AB165" s="46">
        <f>DATE(YEAR(Z165)+AA165,MONTH(Z165),DAY(Z165))</f>
        <v>56921</v>
      </c>
      <c r="AC165" s="1" t="s">
        <v>720</v>
      </c>
      <c r="AD165" s="1" t="s">
        <v>496</v>
      </c>
      <c r="AE165" s="1" t="s">
        <v>497</v>
      </c>
      <c r="AF165" s="1" t="s">
        <v>498</v>
      </c>
      <c r="AG165" s="1" t="s">
        <v>472</v>
      </c>
      <c r="AH165" s="36">
        <v>59043</v>
      </c>
      <c r="AI165" s="47"/>
      <c r="AJ165" s="1" t="s">
        <v>499</v>
      </c>
      <c r="AU165" s="36">
        <v>35</v>
      </c>
      <c r="AX165" s="1">
        <v>20</v>
      </c>
      <c r="AY165" s="1">
        <v>14</v>
      </c>
      <c r="BE165" s="1">
        <v>1</v>
      </c>
      <c r="BR165" s="52">
        <v>4668552</v>
      </c>
      <c r="BS165" s="52" t="e">
        <f>VLOOKUP(M165,#REF!,2,TRUE)*(BR165/1000000)</f>
        <v>#REF!</v>
      </c>
      <c r="BT165" s="43" t="e">
        <f>VLOOKUP(M165,#REF!,3,TRUE)*(BR165/1000000)</f>
        <v>#REF!</v>
      </c>
    </row>
    <row r="166" spans="1:72" ht="15" customHeight="1" x14ac:dyDescent="0.25">
      <c r="A166" s="9" t="s">
        <v>419</v>
      </c>
      <c r="B166" s="92">
        <v>2008</v>
      </c>
      <c r="C166" s="92" t="s">
        <v>1583</v>
      </c>
      <c r="D166" s="93" t="s">
        <v>1591</v>
      </c>
      <c r="E166" s="93" t="s">
        <v>1423</v>
      </c>
      <c r="F166" s="93" t="s">
        <v>47</v>
      </c>
      <c r="G166" s="95">
        <v>59457</v>
      </c>
      <c r="H166" s="114"/>
      <c r="I166" s="114"/>
      <c r="J166" s="93" t="s">
        <v>207</v>
      </c>
      <c r="K166" s="97">
        <v>0.09</v>
      </c>
      <c r="L166" s="92" t="s">
        <v>426</v>
      </c>
      <c r="M166" s="93" t="s">
        <v>1255</v>
      </c>
      <c r="N166" s="92" t="s">
        <v>45</v>
      </c>
      <c r="O166" s="98"/>
      <c r="P166" s="92"/>
      <c r="Q166" s="99" t="s">
        <v>419</v>
      </c>
      <c r="R166" s="99"/>
      <c r="S166" s="99"/>
      <c r="T166" s="99"/>
      <c r="U166" s="100"/>
      <c r="V166" s="101"/>
      <c r="W166" s="8" t="s">
        <v>419</v>
      </c>
      <c r="Y166" s="8">
        <f t="shared" si="44"/>
        <v>0</v>
      </c>
      <c r="AA166" s="5"/>
      <c r="AC166" s="93" t="s">
        <v>209</v>
      </c>
      <c r="AD166" s="93" t="s">
        <v>210</v>
      </c>
      <c r="AE166" s="93" t="s">
        <v>216</v>
      </c>
      <c r="AF166" s="93" t="s">
        <v>202</v>
      </c>
      <c r="AG166" s="93" t="s">
        <v>472</v>
      </c>
      <c r="AH166" s="92">
        <v>59457</v>
      </c>
      <c r="AI166" s="47"/>
      <c r="AJ166" s="93" t="s">
        <v>223</v>
      </c>
      <c r="AK166" s="93"/>
      <c r="AL166" s="93"/>
      <c r="AM166" s="93"/>
      <c r="AN166" s="93"/>
      <c r="AO166" s="93"/>
      <c r="AP166" s="93"/>
      <c r="AQ166" s="93"/>
      <c r="AR166" s="93"/>
      <c r="AS166" s="93"/>
      <c r="AT166" s="103"/>
      <c r="AU166" s="92"/>
      <c r="AV166" s="93"/>
      <c r="AW166" s="93"/>
      <c r="AX166" s="93"/>
      <c r="AY166" s="93"/>
      <c r="AZ166" s="93"/>
      <c r="BA166" s="93"/>
      <c r="BB166" s="93"/>
      <c r="BC166" s="93"/>
      <c r="BD166" s="93"/>
      <c r="BE166" s="93"/>
      <c r="BS166" s="52" t="e">
        <f>VLOOKUP(M166,#REF!,2,TRUE)*(BR166/1000000)</f>
        <v>#REF!</v>
      </c>
      <c r="BT166" s="43" t="e">
        <f>VLOOKUP(M166,#REF!,3,TRUE)*(BR166/1000000)</f>
        <v>#REF!</v>
      </c>
    </row>
    <row r="167" spans="1:72" s="126" customFormat="1" ht="15" customHeight="1" x14ac:dyDescent="0.25">
      <c r="A167" s="124">
        <v>39925</v>
      </c>
      <c r="B167" s="125">
        <v>2007</v>
      </c>
      <c r="C167" s="125" t="s">
        <v>2051</v>
      </c>
      <c r="D167" s="126" t="s">
        <v>1737</v>
      </c>
      <c r="E167" s="126" t="s">
        <v>316</v>
      </c>
      <c r="F167" s="126" t="s">
        <v>192</v>
      </c>
      <c r="G167" s="127">
        <v>59101</v>
      </c>
      <c r="H167" s="128"/>
      <c r="I167" s="128"/>
      <c r="J167" s="126" t="s">
        <v>898</v>
      </c>
      <c r="K167" s="129">
        <v>0.04</v>
      </c>
      <c r="L167" s="125" t="s">
        <v>84</v>
      </c>
      <c r="M167" s="126" t="s">
        <v>307</v>
      </c>
      <c r="N167" s="125" t="s">
        <v>443</v>
      </c>
      <c r="O167" s="130">
        <v>101</v>
      </c>
      <c r="P167" s="125">
        <v>1</v>
      </c>
      <c r="Q167" s="131">
        <v>2646400</v>
      </c>
      <c r="R167" s="131"/>
      <c r="S167" s="131"/>
      <c r="T167" s="131"/>
      <c r="U167" s="132"/>
      <c r="V167" s="133"/>
      <c r="W167" s="124">
        <v>39337</v>
      </c>
      <c r="X167" s="124"/>
      <c r="Y167" s="124">
        <f t="shared" ref="Y167:Y230" si="49">IF(W167&gt;X167,W167,X167)</f>
        <v>39337</v>
      </c>
      <c r="Z167" s="135">
        <f t="shared" ref="Z167:Z230" si="50">DATE(YEAR(Y167)+14,MONTH(Y167),DAY(Y167))</f>
        <v>44451</v>
      </c>
      <c r="AA167" s="136">
        <v>31</v>
      </c>
      <c r="AB167" s="135">
        <f>DATE(YEAR(Z167)+AA167,MONTH(Z167),DAY(Z167))</f>
        <v>55774</v>
      </c>
      <c r="AC167" s="126" t="s">
        <v>723</v>
      </c>
      <c r="AD167" s="126" t="s">
        <v>724</v>
      </c>
      <c r="AE167" s="126" t="s">
        <v>725</v>
      </c>
      <c r="AF167" s="126" t="s">
        <v>127</v>
      </c>
      <c r="AG167" s="126" t="s">
        <v>474</v>
      </c>
      <c r="AH167" s="125">
        <v>98101</v>
      </c>
      <c r="AI167" s="137"/>
      <c r="AJ167" s="126" t="s">
        <v>726</v>
      </c>
      <c r="AT167" s="138"/>
      <c r="AU167" s="125">
        <v>101</v>
      </c>
      <c r="AX167" s="126">
        <v>100</v>
      </c>
      <c r="BE167" s="126">
        <v>1</v>
      </c>
      <c r="BF167" s="125"/>
      <c r="BG167" s="125"/>
      <c r="BH167" s="125"/>
      <c r="BI167" s="125"/>
      <c r="BJ167" s="125"/>
      <c r="BK167" s="125"/>
      <c r="BL167" s="125"/>
      <c r="BM167" s="125"/>
      <c r="BN167" s="125"/>
      <c r="BR167" s="139">
        <v>7390267</v>
      </c>
      <c r="BS167" s="139" t="e">
        <f>VLOOKUP(M167,#REF!,2,TRUE)*(BR167/1000000)</f>
        <v>#REF!</v>
      </c>
      <c r="BT167" s="134" t="e">
        <f>VLOOKUP(M167,#REF!,3,TRUE)*(BR167/1000000)</f>
        <v>#REF!</v>
      </c>
    </row>
    <row r="168" spans="1:72" ht="15" customHeight="1" x14ac:dyDescent="0.25">
      <c r="B168" s="36">
        <v>2007</v>
      </c>
      <c r="C168" s="36" t="s">
        <v>1014</v>
      </c>
      <c r="D168" s="1" t="s">
        <v>1900</v>
      </c>
      <c r="E168" s="1" t="s">
        <v>1425</v>
      </c>
      <c r="F168" s="1" t="s">
        <v>801</v>
      </c>
      <c r="G168" s="38">
        <v>59255</v>
      </c>
      <c r="J168" s="1" t="s">
        <v>213</v>
      </c>
      <c r="K168" s="40">
        <v>0.09</v>
      </c>
      <c r="L168" s="36" t="s">
        <v>454</v>
      </c>
      <c r="M168" s="1" t="s">
        <v>307</v>
      </c>
      <c r="N168" s="36" t="s">
        <v>45</v>
      </c>
      <c r="O168" s="41">
        <v>23</v>
      </c>
      <c r="P168" s="36">
        <v>23</v>
      </c>
      <c r="Q168" s="42">
        <v>2657390</v>
      </c>
      <c r="R168" s="42"/>
      <c r="S168" s="42"/>
      <c r="T168" s="42"/>
      <c r="W168" s="8">
        <v>39722</v>
      </c>
      <c r="Y168" s="8">
        <f t="shared" si="49"/>
        <v>39722</v>
      </c>
      <c r="Z168" s="46">
        <f t="shared" si="50"/>
        <v>44835</v>
      </c>
      <c r="AA168" s="4">
        <v>16</v>
      </c>
      <c r="AB168" s="46">
        <f>DATE(YEAR(Z168)+AA168,MONTH(Z168),DAY(Z168))</f>
        <v>50679</v>
      </c>
      <c r="AC168" s="1" t="s">
        <v>667</v>
      </c>
      <c r="AD168" s="1" t="s">
        <v>668</v>
      </c>
      <c r="AE168" s="1" t="s">
        <v>669</v>
      </c>
      <c r="AF168" s="1" t="s">
        <v>203</v>
      </c>
      <c r="AG168" s="1" t="s">
        <v>472</v>
      </c>
      <c r="AH168" s="36">
        <v>59255</v>
      </c>
      <c r="AI168" s="47"/>
      <c r="AJ168" s="1" t="s">
        <v>670</v>
      </c>
      <c r="AU168" s="36">
        <v>23</v>
      </c>
      <c r="AX168" s="1">
        <v>3</v>
      </c>
      <c r="AY168" s="1">
        <v>5</v>
      </c>
      <c r="AZ168" s="1">
        <v>8</v>
      </c>
      <c r="BA168" s="1">
        <v>7</v>
      </c>
      <c r="BR168" s="52">
        <v>3480839</v>
      </c>
      <c r="BS168" s="52" t="e">
        <f>VLOOKUP(M168,#REF!,2,TRUE)*(BR168/1000000)</f>
        <v>#REF!</v>
      </c>
      <c r="BT168" s="43" t="e">
        <f>VLOOKUP(M168,#REF!,3,TRUE)*(BR168/1000000)</f>
        <v>#REF!</v>
      </c>
    </row>
    <row r="169" spans="1:72" ht="15" customHeight="1" x14ac:dyDescent="0.25">
      <c r="A169" s="9" t="s">
        <v>419</v>
      </c>
      <c r="B169" s="92">
        <v>2007</v>
      </c>
      <c r="C169" s="92" t="s">
        <v>1583</v>
      </c>
      <c r="D169" s="93" t="s">
        <v>1592</v>
      </c>
      <c r="E169" s="93" t="s">
        <v>219</v>
      </c>
      <c r="F169" s="93" t="s">
        <v>920</v>
      </c>
      <c r="G169" s="95">
        <v>59860</v>
      </c>
      <c r="H169" s="114"/>
      <c r="I169" s="114"/>
      <c r="J169" s="93" t="s">
        <v>318</v>
      </c>
      <c r="K169" s="97">
        <v>0.09</v>
      </c>
      <c r="L169" s="92" t="s">
        <v>84</v>
      </c>
      <c r="M169" s="93" t="s">
        <v>1169</v>
      </c>
      <c r="N169" s="92" t="s">
        <v>45</v>
      </c>
      <c r="O169" s="98" t="s">
        <v>419</v>
      </c>
      <c r="P169" s="92"/>
      <c r="Q169" s="99" t="s">
        <v>419</v>
      </c>
      <c r="R169" s="99"/>
      <c r="S169" s="99"/>
      <c r="T169" s="99"/>
      <c r="U169" s="100"/>
      <c r="V169" s="101"/>
      <c r="W169" s="8" t="s">
        <v>419</v>
      </c>
      <c r="Y169" s="8">
        <f t="shared" si="49"/>
        <v>0</v>
      </c>
      <c r="AA169" s="5"/>
      <c r="AC169" s="93" t="s">
        <v>211</v>
      </c>
      <c r="AD169" s="93" t="s">
        <v>212</v>
      </c>
      <c r="AE169" s="93" t="s">
        <v>217</v>
      </c>
      <c r="AF169" s="93" t="s">
        <v>142</v>
      </c>
      <c r="AG169" s="93" t="s">
        <v>472</v>
      </c>
      <c r="AH169" s="92">
        <v>59860</v>
      </c>
      <c r="AI169" s="47"/>
      <c r="AJ169" s="93" t="s">
        <v>218</v>
      </c>
      <c r="AK169" s="93"/>
      <c r="AL169" s="93"/>
      <c r="AM169" s="93"/>
      <c r="AN169" s="93"/>
      <c r="AO169" s="93"/>
      <c r="AP169" s="93"/>
      <c r="AQ169" s="93"/>
      <c r="AR169" s="93"/>
      <c r="AS169" s="93"/>
      <c r="AT169" s="103"/>
      <c r="AU169" s="92">
        <v>0</v>
      </c>
      <c r="AV169" s="93"/>
      <c r="AW169" s="93"/>
      <c r="AX169" s="93">
        <v>28</v>
      </c>
      <c r="AY169" s="93">
        <v>12</v>
      </c>
      <c r="AZ169" s="93"/>
      <c r="BA169" s="93"/>
      <c r="BB169" s="93"/>
      <c r="BC169" s="93"/>
      <c r="BD169" s="93"/>
      <c r="BE169" s="93"/>
      <c r="BR169" s="52" t="s">
        <v>419</v>
      </c>
      <c r="BS169" s="52" t="e">
        <f>VLOOKUP(M169,#REF!,2,TRUE)*(BR169/1000000)</f>
        <v>#REF!</v>
      </c>
      <c r="BT169" s="43" t="e">
        <f>VLOOKUP(M169,#REF!,3,TRUE)*(BR169/1000000)</f>
        <v>#REF!</v>
      </c>
    </row>
    <row r="170" spans="1:72" ht="15" customHeight="1" x14ac:dyDescent="0.25">
      <c r="B170" s="36">
        <v>2007</v>
      </c>
      <c r="C170" s="36" t="s">
        <v>1014</v>
      </c>
      <c r="D170" s="1" t="s">
        <v>1525</v>
      </c>
      <c r="E170" s="1" t="s">
        <v>1424</v>
      </c>
      <c r="F170" s="1" t="s">
        <v>338</v>
      </c>
      <c r="G170" s="38">
        <v>59802</v>
      </c>
      <c r="J170" s="1" t="s">
        <v>338</v>
      </c>
      <c r="K170" s="40">
        <v>0.09</v>
      </c>
      <c r="L170" s="36" t="s">
        <v>84</v>
      </c>
      <c r="M170" s="1" t="s">
        <v>1169</v>
      </c>
      <c r="N170" s="36" t="s">
        <v>45</v>
      </c>
      <c r="O170" s="41">
        <v>35</v>
      </c>
      <c r="P170" s="36">
        <v>1</v>
      </c>
      <c r="Q170" s="42">
        <v>5450000</v>
      </c>
      <c r="R170" s="42"/>
      <c r="S170" s="42"/>
      <c r="T170" s="42"/>
      <c r="W170" s="8">
        <v>40011</v>
      </c>
      <c r="Y170" s="8">
        <f t="shared" si="49"/>
        <v>40011</v>
      </c>
      <c r="Z170" s="46">
        <f t="shared" si="50"/>
        <v>45124</v>
      </c>
      <c r="AA170" s="4">
        <v>31</v>
      </c>
      <c r="AB170" s="46">
        <f>DATE(YEAR(Z170)+AA170,MONTH(Z170),DAY(Z170))</f>
        <v>56447</v>
      </c>
      <c r="AC170" s="1" t="s">
        <v>277</v>
      </c>
      <c r="AD170" s="1" t="s">
        <v>655</v>
      </c>
      <c r="AE170" s="1" t="s">
        <v>278</v>
      </c>
      <c r="AF170" s="1" t="s">
        <v>20</v>
      </c>
      <c r="AG170" s="1" t="s">
        <v>472</v>
      </c>
      <c r="AH170" s="36">
        <v>59802</v>
      </c>
      <c r="AI170" s="47"/>
      <c r="AJ170" s="1" t="s">
        <v>165</v>
      </c>
      <c r="AU170" s="36">
        <v>35</v>
      </c>
      <c r="AW170" s="1">
        <v>5</v>
      </c>
      <c r="AX170" s="1">
        <v>20</v>
      </c>
      <c r="AY170" s="1">
        <v>10</v>
      </c>
      <c r="BR170" s="52">
        <v>8489538</v>
      </c>
      <c r="BS170" s="52" t="e">
        <f>VLOOKUP(M170,#REF!,2,TRUE)*(BR170/1000000)</f>
        <v>#REF!</v>
      </c>
      <c r="BT170" s="43" t="e">
        <f>VLOOKUP(M170,#REF!,3,TRUE)*(BR170/1000000)</f>
        <v>#REF!</v>
      </c>
    </row>
    <row r="171" spans="1:72" s="71" customFormat="1" ht="15" customHeight="1" x14ac:dyDescent="0.25">
      <c r="A171" s="9" t="s">
        <v>419</v>
      </c>
      <c r="B171" s="92">
        <v>2007</v>
      </c>
      <c r="C171" s="92" t="s">
        <v>1583</v>
      </c>
      <c r="D171" s="93" t="s">
        <v>1589</v>
      </c>
      <c r="E171" s="93" t="s">
        <v>1423</v>
      </c>
      <c r="F171" s="93" t="s">
        <v>47</v>
      </c>
      <c r="G171" s="95">
        <v>59457</v>
      </c>
      <c r="H171" s="114"/>
      <c r="I171" s="114"/>
      <c r="J171" s="93" t="s">
        <v>207</v>
      </c>
      <c r="K171" s="97">
        <v>0.09</v>
      </c>
      <c r="L171" s="92" t="s">
        <v>426</v>
      </c>
      <c r="M171" s="93" t="s">
        <v>1255</v>
      </c>
      <c r="N171" s="92" t="s">
        <v>45</v>
      </c>
      <c r="O171" s="98" t="s">
        <v>419</v>
      </c>
      <c r="P171" s="92"/>
      <c r="Q171" s="99" t="s">
        <v>419</v>
      </c>
      <c r="R171" s="99"/>
      <c r="S171" s="99"/>
      <c r="T171" s="99"/>
      <c r="U171" s="100"/>
      <c r="V171" s="101"/>
      <c r="W171" s="8" t="s">
        <v>419</v>
      </c>
      <c r="X171" s="8"/>
      <c r="Y171" s="8">
        <f t="shared" si="49"/>
        <v>0</v>
      </c>
      <c r="Z171" s="46"/>
      <c r="AA171" s="5"/>
      <c r="AB171" s="46"/>
      <c r="AC171" s="93" t="s">
        <v>209</v>
      </c>
      <c r="AD171" s="93" t="s">
        <v>210</v>
      </c>
      <c r="AE171" s="93" t="s">
        <v>216</v>
      </c>
      <c r="AF171" s="93" t="s">
        <v>202</v>
      </c>
      <c r="AG171" s="93" t="s">
        <v>472</v>
      </c>
      <c r="AH171" s="92">
        <v>59457</v>
      </c>
      <c r="AI171" s="47"/>
      <c r="AJ171" s="93" t="s">
        <v>223</v>
      </c>
      <c r="AK171" s="93"/>
      <c r="AL171" s="93"/>
      <c r="AM171" s="93"/>
      <c r="AN171" s="93"/>
      <c r="AO171" s="93"/>
      <c r="AP171" s="93"/>
      <c r="AQ171" s="93"/>
      <c r="AR171" s="93"/>
      <c r="AS171" s="93"/>
      <c r="AT171" s="103"/>
      <c r="AU171" s="92">
        <v>0</v>
      </c>
      <c r="AV171" s="93"/>
      <c r="AW171" s="93"/>
      <c r="AX171" s="93">
        <v>3</v>
      </c>
      <c r="AY171" s="93">
        <v>15</v>
      </c>
      <c r="AZ171" s="93">
        <v>6</v>
      </c>
      <c r="BA171" s="93"/>
      <c r="BB171" s="93"/>
      <c r="BC171" s="93"/>
      <c r="BD171" s="93"/>
      <c r="BE171" s="93"/>
      <c r="BF171" s="11"/>
      <c r="BG171" s="11"/>
      <c r="BH171" s="11"/>
      <c r="BI171" s="11"/>
      <c r="BJ171" s="11"/>
      <c r="BK171" s="11"/>
      <c r="BL171" s="11"/>
      <c r="BM171" s="11"/>
      <c r="BN171" s="11"/>
      <c r="BR171" s="52" t="s">
        <v>419</v>
      </c>
      <c r="BS171" s="52" t="e">
        <f>VLOOKUP(M171,#REF!,2,TRUE)*(BR171/1000000)</f>
        <v>#REF!</v>
      </c>
      <c r="BT171" s="43" t="e">
        <f>VLOOKUP(M171,#REF!,3,TRUE)*(BR171/1000000)</f>
        <v>#REF!</v>
      </c>
    </row>
    <row r="172" spans="1:72" ht="15" customHeight="1" x14ac:dyDescent="0.25">
      <c r="B172" s="36">
        <v>2007</v>
      </c>
      <c r="C172" s="36" t="s">
        <v>1014</v>
      </c>
      <c r="D172" s="1" t="s">
        <v>1902</v>
      </c>
      <c r="E172" s="1" t="s">
        <v>221</v>
      </c>
      <c r="F172" s="1" t="s">
        <v>887</v>
      </c>
      <c r="G172" s="38">
        <v>59624</v>
      </c>
      <c r="J172" s="37" t="s">
        <v>913</v>
      </c>
      <c r="K172" s="40">
        <v>0.09</v>
      </c>
      <c r="L172" s="36" t="s">
        <v>426</v>
      </c>
      <c r="M172" s="1" t="s">
        <v>302</v>
      </c>
      <c r="N172" s="36" t="s">
        <v>443</v>
      </c>
      <c r="O172" s="41">
        <v>43</v>
      </c>
      <c r="P172" s="36">
        <v>1</v>
      </c>
      <c r="Q172" s="42">
        <v>5687500</v>
      </c>
      <c r="R172" s="42"/>
      <c r="S172" s="42"/>
      <c r="T172" s="42"/>
      <c r="W172" s="8">
        <v>39818</v>
      </c>
      <c r="Y172" s="8">
        <f t="shared" si="49"/>
        <v>39818</v>
      </c>
      <c r="Z172" s="46">
        <f t="shared" si="50"/>
        <v>44931</v>
      </c>
      <c r="AA172" s="4">
        <v>31</v>
      </c>
      <c r="AB172" s="46">
        <f>DATE(YEAR(Z172)+AA172,MONTH(Z172),DAY(Z172))</f>
        <v>56254</v>
      </c>
      <c r="AC172" s="1" t="s">
        <v>652</v>
      </c>
      <c r="AD172" s="1" t="s">
        <v>520</v>
      </c>
      <c r="AE172" s="1" t="s">
        <v>215</v>
      </c>
      <c r="AF172" s="1" t="s">
        <v>15</v>
      </c>
      <c r="AG172" s="1" t="s">
        <v>472</v>
      </c>
      <c r="AH172" s="36" t="s">
        <v>183</v>
      </c>
      <c r="AI172" s="47"/>
      <c r="AJ172" s="1" t="s">
        <v>580</v>
      </c>
      <c r="AU172" s="36">
        <v>43</v>
      </c>
      <c r="AX172" s="1">
        <v>40</v>
      </c>
      <c r="BR172" s="52">
        <v>6531171</v>
      </c>
      <c r="BS172" s="52" t="e">
        <f>VLOOKUP(M172,#REF!,2,TRUE)*(BR172/1000000)</f>
        <v>#REF!</v>
      </c>
      <c r="BT172" s="43" t="e">
        <f>VLOOKUP(M172,#REF!,3,TRUE)*(BR172/1000000)</f>
        <v>#REF!</v>
      </c>
    </row>
    <row r="173" spans="1:72" ht="15" customHeight="1" x14ac:dyDescent="0.25">
      <c r="A173" s="9"/>
      <c r="B173" s="92">
        <v>2007</v>
      </c>
      <c r="C173" s="92" t="s">
        <v>1578</v>
      </c>
      <c r="D173" s="93" t="s">
        <v>1588</v>
      </c>
      <c r="E173" s="93" t="s">
        <v>220</v>
      </c>
      <c r="F173" s="93" t="s">
        <v>838</v>
      </c>
      <c r="G173" s="95">
        <v>59330</v>
      </c>
      <c r="H173" s="114"/>
      <c r="I173" s="114"/>
      <c r="J173" s="93" t="s">
        <v>206</v>
      </c>
      <c r="K173" s="97">
        <v>0.09</v>
      </c>
      <c r="L173" s="92" t="s">
        <v>426</v>
      </c>
      <c r="M173" s="93" t="s">
        <v>1169</v>
      </c>
      <c r="N173" s="92" t="s">
        <v>443</v>
      </c>
      <c r="O173" s="98"/>
      <c r="P173" s="92"/>
      <c r="Q173" s="99">
        <v>1778350</v>
      </c>
      <c r="R173" s="99"/>
      <c r="S173" s="99"/>
      <c r="T173" s="99"/>
      <c r="U173" s="100"/>
      <c r="V173" s="101"/>
      <c r="Y173" s="8">
        <f t="shared" si="49"/>
        <v>0</v>
      </c>
      <c r="AA173" s="5"/>
      <c r="AC173" s="93" t="s">
        <v>204</v>
      </c>
      <c r="AD173" s="93" t="s">
        <v>205</v>
      </c>
      <c r="AE173" s="93" t="s">
        <v>214</v>
      </c>
      <c r="AF173" s="93" t="s">
        <v>201</v>
      </c>
      <c r="AG173" s="93" t="s">
        <v>472</v>
      </c>
      <c r="AH173" s="92">
        <v>59330</v>
      </c>
      <c r="AI173" s="47"/>
      <c r="AJ173" s="93" t="s">
        <v>222</v>
      </c>
      <c r="AK173" s="93"/>
      <c r="AL173" s="93"/>
      <c r="AM173" s="93"/>
      <c r="AN173" s="93"/>
      <c r="AO173" s="93"/>
      <c r="AP173" s="93"/>
      <c r="AQ173" s="93"/>
      <c r="AR173" s="93"/>
      <c r="AS173" s="93"/>
      <c r="AT173" s="103"/>
      <c r="AU173" s="92">
        <v>18</v>
      </c>
      <c r="AV173" s="93"/>
      <c r="AW173" s="93"/>
      <c r="AX173" s="93">
        <v>9</v>
      </c>
      <c r="AY173" s="93">
        <v>9</v>
      </c>
      <c r="AZ173" s="93"/>
      <c r="BA173" s="93"/>
      <c r="BB173" s="93"/>
      <c r="BC173" s="93"/>
      <c r="BD173" s="93"/>
      <c r="BE173" s="93"/>
      <c r="BR173" s="52">
        <v>2278045</v>
      </c>
      <c r="BS173" s="52" t="e">
        <f>VLOOKUP(M173,#REF!,2,TRUE)*(BR173/1000000)</f>
        <v>#REF!</v>
      </c>
      <c r="BT173" s="43" t="e">
        <f>VLOOKUP(M173,#REF!,3,TRUE)*(BR173/1000000)</f>
        <v>#REF!</v>
      </c>
    </row>
    <row r="174" spans="1:72" ht="15" customHeight="1" x14ac:dyDescent="0.25">
      <c r="B174" s="36">
        <v>2006</v>
      </c>
      <c r="C174" s="36" t="s">
        <v>1014</v>
      </c>
      <c r="D174" s="1" t="s">
        <v>1738</v>
      </c>
      <c r="E174" s="1" t="s">
        <v>1422</v>
      </c>
      <c r="F174" s="1" t="s">
        <v>192</v>
      </c>
      <c r="G174" s="38">
        <v>59101</v>
      </c>
      <c r="J174" s="1" t="s">
        <v>898</v>
      </c>
      <c r="K174" s="40">
        <v>0.04</v>
      </c>
      <c r="L174" s="36" t="s">
        <v>426</v>
      </c>
      <c r="M174" s="1" t="s">
        <v>307</v>
      </c>
      <c r="N174" s="36" t="s">
        <v>443</v>
      </c>
      <c r="O174" s="41">
        <v>88</v>
      </c>
      <c r="P174" s="36">
        <v>1</v>
      </c>
      <c r="Q174" s="42">
        <v>1655110</v>
      </c>
      <c r="R174" s="42"/>
      <c r="S174" s="42"/>
      <c r="T174" s="42"/>
      <c r="W174" s="8">
        <v>39926</v>
      </c>
      <c r="Y174" s="8">
        <f t="shared" si="49"/>
        <v>39926</v>
      </c>
      <c r="Z174" s="46">
        <f t="shared" si="50"/>
        <v>45039</v>
      </c>
      <c r="AA174" s="4">
        <v>31</v>
      </c>
      <c r="AB174" s="46">
        <f t="shared" ref="AB174:AB184" si="51">DATE(YEAR(Z174)+AA174,MONTH(Z174),DAY(Z174))</f>
        <v>56362</v>
      </c>
      <c r="AC174" s="1" t="s">
        <v>714</v>
      </c>
      <c r="AD174" s="1" t="s">
        <v>672</v>
      </c>
      <c r="AE174" s="1" t="s">
        <v>715</v>
      </c>
      <c r="AF174" s="1" t="s">
        <v>26</v>
      </c>
      <c r="AG174" s="1" t="s">
        <v>473</v>
      </c>
      <c r="AH174" s="36">
        <v>80202</v>
      </c>
      <c r="AI174" s="47"/>
      <c r="AJ174" s="1" t="s">
        <v>674</v>
      </c>
      <c r="AU174" s="36">
        <v>88</v>
      </c>
      <c r="AW174" s="1">
        <v>60</v>
      </c>
      <c r="AX174" s="1">
        <v>33</v>
      </c>
      <c r="BD174" s="1">
        <v>5</v>
      </c>
      <c r="BR174" s="52">
        <v>3185329</v>
      </c>
      <c r="BS174" s="52" t="e">
        <f>VLOOKUP(M174,#REF!,2,TRUE)*(BR174/1000000)</f>
        <v>#REF!</v>
      </c>
      <c r="BT174" s="43" t="e">
        <f>VLOOKUP(M174,#REF!,3,TRUE)*(BR174/1000000)</f>
        <v>#REF!</v>
      </c>
    </row>
    <row r="175" spans="1:72" s="93" customFormat="1" ht="15" customHeight="1" x14ac:dyDescent="0.25">
      <c r="A175" s="9">
        <v>39064</v>
      </c>
      <c r="B175" s="92">
        <v>2006</v>
      </c>
      <c r="C175" s="92" t="s">
        <v>1014</v>
      </c>
      <c r="D175" s="93" t="s">
        <v>2096</v>
      </c>
      <c r="E175" s="93" t="s">
        <v>134</v>
      </c>
      <c r="F175" s="93" t="s">
        <v>911</v>
      </c>
      <c r="G175" s="95">
        <v>59911</v>
      </c>
      <c r="H175" s="114"/>
      <c r="I175" s="114"/>
      <c r="J175" s="93" t="s">
        <v>343</v>
      </c>
      <c r="K175" s="97">
        <v>0.09</v>
      </c>
      <c r="L175" s="92" t="s">
        <v>84</v>
      </c>
      <c r="M175" s="93" t="s">
        <v>307</v>
      </c>
      <c r="N175" s="92" t="s">
        <v>45</v>
      </c>
      <c r="O175" s="98">
        <v>24</v>
      </c>
      <c r="P175" s="92">
        <v>4</v>
      </c>
      <c r="Q175" s="99">
        <v>2268600</v>
      </c>
      <c r="R175" s="99"/>
      <c r="S175" s="99"/>
      <c r="T175" s="99"/>
      <c r="U175" s="100"/>
      <c r="V175" s="101"/>
      <c r="W175" s="9">
        <v>39490</v>
      </c>
      <c r="X175" s="9"/>
      <c r="Y175" s="9">
        <f t="shared" si="49"/>
        <v>39490</v>
      </c>
      <c r="Z175" s="140">
        <f t="shared" si="50"/>
        <v>44604</v>
      </c>
      <c r="AA175" s="5">
        <v>35</v>
      </c>
      <c r="AB175" s="140">
        <f t="shared" si="51"/>
        <v>57388</v>
      </c>
      <c r="AC175" s="93" t="s">
        <v>639</v>
      </c>
      <c r="AD175" s="93" t="s">
        <v>640</v>
      </c>
      <c r="AE175" s="93" t="s">
        <v>641</v>
      </c>
      <c r="AF175" s="93" t="s">
        <v>642</v>
      </c>
      <c r="AG175" s="93" t="s">
        <v>643</v>
      </c>
      <c r="AH175" s="92">
        <v>30080</v>
      </c>
      <c r="AI175" s="141"/>
      <c r="AJ175" s="93" t="s">
        <v>644</v>
      </c>
      <c r="AT175" s="103"/>
      <c r="AU175" s="92">
        <v>24</v>
      </c>
      <c r="AX175" s="93">
        <v>16</v>
      </c>
      <c r="AY175" s="93">
        <v>8</v>
      </c>
      <c r="BF175" s="92"/>
      <c r="BG175" s="92"/>
      <c r="BH175" s="92"/>
      <c r="BI175" s="92"/>
      <c r="BJ175" s="92"/>
      <c r="BK175" s="92"/>
      <c r="BL175" s="92"/>
      <c r="BM175" s="92"/>
      <c r="BN175" s="92"/>
      <c r="BR175" s="94">
        <v>2727095</v>
      </c>
      <c r="BS175" s="94" t="e">
        <f>VLOOKUP(M175,#REF!,2,TRUE)*(BR175/1000000)</f>
        <v>#REF!</v>
      </c>
      <c r="BT175" s="102" t="e">
        <f>VLOOKUP(M175,#REF!,3,TRUE)*(BR175/1000000)</f>
        <v>#REF!</v>
      </c>
    </row>
    <row r="176" spans="1:72" ht="15" customHeight="1" x14ac:dyDescent="0.25">
      <c r="A176" s="8">
        <v>39064</v>
      </c>
      <c r="B176" s="36">
        <v>2006</v>
      </c>
      <c r="C176" s="36" t="s">
        <v>1014</v>
      </c>
      <c r="D176" s="1" t="s">
        <v>1904</v>
      </c>
      <c r="E176" s="1" t="s">
        <v>175</v>
      </c>
      <c r="F176" s="1" t="s">
        <v>338</v>
      </c>
      <c r="G176" s="38">
        <v>59808</v>
      </c>
      <c r="J176" s="1" t="s">
        <v>338</v>
      </c>
      <c r="K176" s="40">
        <v>0.09</v>
      </c>
      <c r="L176" s="36" t="s">
        <v>84</v>
      </c>
      <c r="M176" s="1" t="s">
        <v>1169</v>
      </c>
      <c r="N176" s="36" t="s">
        <v>45</v>
      </c>
      <c r="O176" s="41">
        <v>33</v>
      </c>
      <c r="P176" s="36">
        <v>3</v>
      </c>
      <c r="Q176" s="42">
        <v>4925550</v>
      </c>
      <c r="R176" s="42"/>
      <c r="S176" s="42"/>
      <c r="T176" s="42"/>
      <c r="W176" s="8">
        <v>39234</v>
      </c>
      <c r="Y176" s="8">
        <f t="shared" si="49"/>
        <v>39234</v>
      </c>
      <c r="Z176" s="46">
        <f t="shared" si="50"/>
        <v>44348</v>
      </c>
      <c r="AA176" s="4">
        <v>31</v>
      </c>
      <c r="AB176" s="46">
        <f t="shared" si="51"/>
        <v>55671</v>
      </c>
      <c r="AC176" s="1" t="s">
        <v>576</v>
      </c>
      <c r="AD176" s="1" t="s">
        <v>577</v>
      </c>
      <c r="AE176" s="1" t="s">
        <v>434</v>
      </c>
      <c r="AF176" s="1" t="s">
        <v>20</v>
      </c>
      <c r="AG176" s="1" t="s">
        <v>472</v>
      </c>
      <c r="AH176" s="36">
        <v>59803</v>
      </c>
      <c r="AI176" s="47"/>
      <c r="AJ176" s="1" t="s">
        <v>581</v>
      </c>
      <c r="AU176" s="36">
        <v>33</v>
      </c>
      <c r="AY176" s="1">
        <v>24</v>
      </c>
      <c r="AZ176" s="1">
        <v>9</v>
      </c>
      <c r="BR176" s="52">
        <v>5671021</v>
      </c>
      <c r="BS176" s="52" t="e">
        <f>VLOOKUP(M176,#REF!,2,TRUE)*(BR176/1000000)</f>
        <v>#REF!</v>
      </c>
      <c r="BT176" s="43" t="e">
        <f>VLOOKUP(M176,#REF!,3,TRUE)*(BR176/1000000)</f>
        <v>#REF!</v>
      </c>
    </row>
    <row r="177" spans="1:72" ht="15" customHeight="1" x14ac:dyDescent="0.25">
      <c r="B177" s="36">
        <v>2006</v>
      </c>
      <c r="C177" s="36" t="s">
        <v>1014</v>
      </c>
      <c r="D177" s="1" t="s">
        <v>1903</v>
      </c>
      <c r="E177" s="1" t="s">
        <v>135</v>
      </c>
      <c r="F177" s="1" t="s">
        <v>887</v>
      </c>
      <c r="G177" s="38">
        <v>59601</v>
      </c>
      <c r="J177" s="37" t="s">
        <v>913</v>
      </c>
      <c r="K177" s="40">
        <v>0.09</v>
      </c>
      <c r="L177" s="36" t="s">
        <v>426</v>
      </c>
      <c r="M177" s="1" t="s">
        <v>307</v>
      </c>
      <c r="N177" s="36" t="s">
        <v>443</v>
      </c>
      <c r="O177" s="41">
        <v>30</v>
      </c>
      <c r="P177" s="36">
        <v>1</v>
      </c>
      <c r="Q177" s="42">
        <v>5075000</v>
      </c>
      <c r="R177" s="42"/>
      <c r="S177" s="42"/>
      <c r="T177" s="42"/>
      <c r="W177" s="8">
        <v>39751</v>
      </c>
      <c r="Y177" s="8">
        <f t="shared" si="49"/>
        <v>39751</v>
      </c>
      <c r="Z177" s="46">
        <f t="shared" si="50"/>
        <v>44864</v>
      </c>
      <c r="AA177" s="4">
        <v>16</v>
      </c>
      <c r="AB177" s="46">
        <f t="shared" si="51"/>
        <v>50708</v>
      </c>
      <c r="AC177" s="1" t="s">
        <v>652</v>
      </c>
      <c r="AD177" s="1" t="s">
        <v>520</v>
      </c>
      <c r="AE177" s="1" t="s">
        <v>181</v>
      </c>
      <c r="AF177" s="1" t="s">
        <v>15</v>
      </c>
      <c r="AG177" s="1" t="s">
        <v>472</v>
      </c>
      <c r="AH177" s="36" t="s">
        <v>183</v>
      </c>
      <c r="AI177" s="47"/>
      <c r="AJ177" s="1" t="s">
        <v>580</v>
      </c>
      <c r="AU177" s="36">
        <v>30</v>
      </c>
      <c r="AX177" s="1">
        <v>30</v>
      </c>
      <c r="BR177" s="52">
        <v>5820571</v>
      </c>
      <c r="BS177" s="52" t="e">
        <f>VLOOKUP(M177,#REF!,2,TRUE)*(BR177/1000000)</f>
        <v>#REF!</v>
      </c>
      <c r="BT177" s="43" t="e">
        <f>VLOOKUP(M177,#REF!,3,TRUE)*(BR177/1000000)</f>
        <v>#REF!</v>
      </c>
    </row>
    <row r="178" spans="1:72" ht="15" customHeight="1" x14ac:dyDescent="0.25">
      <c r="B178" s="36">
        <v>2006</v>
      </c>
      <c r="C178" s="36" t="s">
        <v>1014</v>
      </c>
      <c r="D178" s="1" t="s">
        <v>1523</v>
      </c>
      <c r="E178" s="1" t="s">
        <v>1421</v>
      </c>
      <c r="F178" s="1" t="s">
        <v>133</v>
      </c>
      <c r="G178" s="38">
        <v>59417</v>
      </c>
      <c r="J178" s="1" t="s">
        <v>361</v>
      </c>
      <c r="K178" s="40">
        <v>0.09</v>
      </c>
      <c r="L178" s="36" t="s">
        <v>454</v>
      </c>
      <c r="M178" s="1" t="s">
        <v>1169</v>
      </c>
      <c r="N178" s="36" t="s">
        <v>45</v>
      </c>
      <c r="O178" s="41">
        <v>50</v>
      </c>
      <c r="P178" s="36">
        <v>30</v>
      </c>
      <c r="Q178" s="42">
        <v>5475000</v>
      </c>
      <c r="R178" s="42"/>
      <c r="S178" s="42"/>
      <c r="T178" s="42"/>
      <c r="W178" s="8">
        <v>39652</v>
      </c>
      <c r="Y178" s="8">
        <f t="shared" si="49"/>
        <v>39652</v>
      </c>
      <c r="Z178" s="46">
        <f t="shared" si="50"/>
        <v>44765</v>
      </c>
      <c r="AA178" s="4">
        <v>31</v>
      </c>
      <c r="AB178" s="46">
        <f t="shared" si="51"/>
        <v>56088</v>
      </c>
      <c r="AC178" s="1" t="s">
        <v>44</v>
      </c>
      <c r="AD178" s="1" t="s">
        <v>251</v>
      </c>
      <c r="AE178" s="1" t="s">
        <v>266</v>
      </c>
      <c r="AF178" s="1" t="s">
        <v>579</v>
      </c>
      <c r="AG178" s="1" t="s">
        <v>472</v>
      </c>
      <c r="AH178" s="36">
        <v>59417</v>
      </c>
      <c r="AI178" s="47"/>
      <c r="AJ178" s="1" t="s">
        <v>682</v>
      </c>
      <c r="AU178" s="36">
        <v>50</v>
      </c>
      <c r="AX178" s="1">
        <v>6</v>
      </c>
      <c r="AY178" s="1">
        <v>10</v>
      </c>
      <c r="AZ178" s="1">
        <v>24</v>
      </c>
      <c r="BA178" s="1">
        <v>10</v>
      </c>
      <c r="BR178" s="52">
        <v>5956768</v>
      </c>
      <c r="BS178" s="52" t="e">
        <f>VLOOKUP(M178,#REF!,2,TRUE)*(BR178/1000000)</f>
        <v>#REF!</v>
      </c>
      <c r="BT178" s="43" t="e">
        <f>VLOOKUP(M178,#REF!,3,TRUE)*(BR178/1000000)</f>
        <v>#REF!</v>
      </c>
    </row>
    <row r="179" spans="1:72" s="71" customFormat="1" ht="15" customHeight="1" x14ac:dyDescent="0.25">
      <c r="A179" s="8"/>
      <c r="B179" s="36">
        <v>2006</v>
      </c>
      <c r="C179" s="36" t="s">
        <v>1014</v>
      </c>
      <c r="D179" s="1" t="s">
        <v>1724</v>
      </c>
      <c r="E179" s="1" t="s">
        <v>1420</v>
      </c>
      <c r="F179" s="1" t="s">
        <v>1274</v>
      </c>
      <c r="G179" s="38">
        <v>59526</v>
      </c>
      <c r="H179" s="39"/>
      <c r="I179" s="39"/>
      <c r="J179" s="1" t="s">
        <v>171</v>
      </c>
      <c r="K179" s="40">
        <v>0.09</v>
      </c>
      <c r="L179" s="36" t="s">
        <v>454</v>
      </c>
      <c r="M179" s="1" t="s">
        <v>1169</v>
      </c>
      <c r="N179" s="36" t="s">
        <v>45</v>
      </c>
      <c r="O179" s="41">
        <v>24</v>
      </c>
      <c r="P179" s="36">
        <v>24</v>
      </c>
      <c r="Q179" s="42">
        <v>4428220</v>
      </c>
      <c r="R179" s="42"/>
      <c r="S179" s="42"/>
      <c r="T179" s="42"/>
      <c r="U179" s="53"/>
      <c r="V179" s="45"/>
      <c r="W179" s="8">
        <v>39297</v>
      </c>
      <c r="X179" s="8"/>
      <c r="Y179" s="8">
        <f t="shared" si="49"/>
        <v>39297</v>
      </c>
      <c r="Z179" s="46">
        <f t="shared" si="50"/>
        <v>44411</v>
      </c>
      <c r="AA179" s="4">
        <v>15</v>
      </c>
      <c r="AB179" s="46">
        <f t="shared" si="51"/>
        <v>49890</v>
      </c>
      <c r="AC179" s="1" t="s">
        <v>662</v>
      </c>
      <c r="AD179" s="1" t="s">
        <v>663</v>
      </c>
      <c r="AE179" s="1" t="s">
        <v>665</v>
      </c>
      <c r="AF179" s="1" t="s">
        <v>173</v>
      </c>
      <c r="AG179" s="1" t="s">
        <v>472</v>
      </c>
      <c r="AH179" s="36">
        <v>59526</v>
      </c>
      <c r="AI179" s="47"/>
      <c r="AJ179" s="1" t="s">
        <v>666</v>
      </c>
      <c r="AK179" s="1"/>
      <c r="AL179" s="1"/>
      <c r="AM179" s="1"/>
      <c r="AN179" s="1"/>
      <c r="AO179" s="1"/>
      <c r="AP179" s="1"/>
      <c r="AQ179" s="1"/>
      <c r="AR179" s="1"/>
      <c r="AS179" s="1"/>
      <c r="AT179" s="56"/>
      <c r="AU179" s="36">
        <v>24</v>
      </c>
      <c r="AV179" s="1"/>
      <c r="AW179" s="1"/>
      <c r="AX179" s="1"/>
      <c r="AY179" s="1"/>
      <c r="AZ179" s="1">
        <v>24</v>
      </c>
      <c r="BA179" s="1"/>
      <c r="BB179" s="1"/>
      <c r="BC179" s="1"/>
      <c r="BD179" s="1"/>
      <c r="BE179" s="1"/>
      <c r="BF179" s="11"/>
      <c r="BG179" s="11"/>
      <c r="BH179" s="11"/>
      <c r="BI179" s="11"/>
      <c r="BJ179" s="11"/>
      <c r="BK179" s="11"/>
      <c r="BL179" s="11"/>
      <c r="BM179" s="11"/>
      <c r="BN179" s="11"/>
      <c r="BR179" s="52">
        <v>4442243</v>
      </c>
      <c r="BS179" s="52" t="e">
        <f>VLOOKUP(M179,#REF!,2,TRUE)*(BR179/1000000)</f>
        <v>#REF!</v>
      </c>
      <c r="BT179" s="43" t="e">
        <f>VLOOKUP(M179,#REF!,3,TRUE)*(BR179/1000000)</f>
        <v>#REF!</v>
      </c>
    </row>
    <row r="180" spans="1:72" ht="15" customHeight="1" x14ac:dyDescent="0.25">
      <c r="A180" s="8">
        <v>39064</v>
      </c>
      <c r="B180" s="36">
        <v>2006</v>
      </c>
      <c r="C180" s="36" t="s">
        <v>1014</v>
      </c>
      <c r="D180" s="1" t="s">
        <v>1060</v>
      </c>
      <c r="E180" s="1" t="s">
        <v>208</v>
      </c>
      <c r="F180" s="1" t="s">
        <v>1026</v>
      </c>
      <c r="G180" s="38">
        <v>59301</v>
      </c>
      <c r="J180" s="1" t="s">
        <v>468</v>
      </c>
      <c r="K180" s="40">
        <v>0.09</v>
      </c>
      <c r="L180" s="36" t="s">
        <v>426</v>
      </c>
      <c r="M180" s="1" t="s">
        <v>307</v>
      </c>
      <c r="N180" s="36" t="s">
        <v>45</v>
      </c>
      <c r="O180" s="41">
        <v>21</v>
      </c>
      <c r="P180" s="36">
        <v>1</v>
      </c>
      <c r="Q180" s="42">
        <v>2293280</v>
      </c>
      <c r="R180" s="42"/>
      <c r="S180" s="42"/>
      <c r="T180" s="42"/>
      <c r="W180" s="8">
        <v>39386</v>
      </c>
      <c r="Y180" s="8">
        <f t="shared" si="49"/>
        <v>39386</v>
      </c>
      <c r="Z180" s="46">
        <f t="shared" si="50"/>
        <v>44500</v>
      </c>
      <c r="AA180" s="4">
        <v>31</v>
      </c>
      <c r="AB180" s="46">
        <f t="shared" si="51"/>
        <v>55823</v>
      </c>
      <c r="AC180" s="1" t="s">
        <v>86</v>
      </c>
      <c r="AD180" s="1" t="s">
        <v>89</v>
      </c>
      <c r="AE180" s="1" t="s">
        <v>636</v>
      </c>
      <c r="AF180" s="1" t="s">
        <v>482</v>
      </c>
      <c r="AG180" s="1" t="s">
        <v>472</v>
      </c>
      <c r="AH180" s="36">
        <v>59301</v>
      </c>
      <c r="AI180" s="47"/>
      <c r="AJ180" s="1" t="s">
        <v>388</v>
      </c>
      <c r="AU180" s="36">
        <v>21</v>
      </c>
      <c r="AX180" s="1">
        <v>3</v>
      </c>
      <c r="AY180" s="1">
        <v>6</v>
      </c>
      <c r="AZ180" s="1">
        <v>12</v>
      </c>
      <c r="BR180" s="52">
        <v>4001476</v>
      </c>
      <c r="BS180" s="52" t="e">
        <f>VLOOKUP(M180,#REF!,2,TRUE)*(BR180/1000000)</f>
        <v>#REF!</v>
      </c>
      <c r="BT180" s="43" t="e">
        <f>VLOOKUP(M180,#REF!,3,TRUE)*(BR180/1000000)</f>
        <v>#REF!</v>
      </c>
    </row>
    <row r="181" spans="1:72" s="71" customFormat="1" ht="15" customHeight="1" x14ac:dyDescent="0.25">
      <c r="A181" s="8">
        <v>39064</v>
      </c>
      <c r="B181" s="36">
        <v>2006</v>
      </c>
      <c r="C181" s="36" t="s">
        <v>1014</v>
      </c>
      <c r="D181" s="1" t="s">
        <v>1143</v>
      </c>
      <c r="E181" s="1" t="s">
        <v>1419</v>
      </c>
      <c r="F181" s="1" t="s">
        <v>192</v>
      </c>
      <c r="G181" s="38">
        <v>59101</v>
      </c>
      <c r="H181" s="39">
        <v>45.773490000000002</v>
      </c>
      <c r="I181" s="39">
        <v>-108.49686</v>
      </c>
      <c r="J181" s="1" t="s">
        <v>898</v>
      </c>
      <c r="K181" s="40">
        <v>0.09</v>
      </c>
      <c r="L181" s="36" t="s">
        <v>426</v>
      </c>
      <c r="M181" s="1" t="s">
        <v>1169</v>
      </c>
      <c r="N181" s="36" t="s">
        <v>45</v>
      </c>
      <c r="O181" s="41">
        <v>20</v>
      </c>
      <c r="P181" s="36">
        <v>2</v>
      </c>
      <c r="Q181" s="42">
        <v>4500000</v>
      </c>
      <c r="R181" s="42"/>
      <c r="S181" s="42"/>
      <c r="T181" s="42"/>
      <c r="U181" s="53"/>
      <c r="V181" s="45"/>
      <c r="W181" s="8">
        <v>39356</v>
      </c>
      <c r="X181" s="8"/>
      <c r="Y181" s="8">
        <f t="shared" si="49"/>
        <v>39356</v>
      </c>
      <c r="Z181" s="46">
        <f t="shared" si="50"/>
        <v>44470</v>
      </c>
      <c r="AA181" s="4">
        <v>31</v>
      </c>
      <c r="AB181" s="46">
        <f t="shared" si="51"/>
        <v>55793</v>
      </c>
      <c r="AC181" s="1" t="s">
        <v>575</v>
      </c>
      <c r="AD181" s="1" t="s">
        <v>676</v>
      </c>
      <c r="AE181" s="1" t="s">
        <v>578</v>
      </c>
      <c r="AF181" s="1" t="s">
        <v>20</v>
      </c>
      <c r="AG181" s="1" t="s">
        <v>472</v>
      </c>
      <c r="AH181" s="36">
        <v>59802</v>
      </c>
      <c r="AI181" s="47"/>
      <c r="AJ181" s="1" t="s">
        <v>165</v>
      </c>
      <c r="AK181" s="1"/>
      <c r="AL181" s="1"/>
      <c r="AM181" s="1"/>
      <c r="AN181" s="1"/>
      <c r="AO181" s="1"/>
      <c r="AP181" s="1"/>
      <c r="AQ181" s="1"/>
      <c r="AR181" s="1"/>
      <c r="AS181" s="1"/>
      <c r="AT181" s="56"/>
      <c r="AU181" s="36">
        <v>20</v>
      </c>
      <c r="AV181" s="1"/>
      <c r="AW181" s="1"/>
      <c r="AX181" s="1" t="s">
        <v>419</v>
      </c>
      <c r="AY181" s="1" t="s">
        <v>419</v>
      </c>
      <c r="AZ181" s="1" t="s">
        <v>419</v>
      </c>
      <c r="BA181" s="1"/>
      <c r="BB181" s="1"/>
      <c r="BC181" s="1"/>
      <c r="BD181" s="1"/>
      <c r="BE181" s="1"/>
      <c r="BF181" s="11"/>
      <c r="BG181" s="11"/>
      <c r="BH181" s="11"/>
      <c r="BI181" s="11"/>
      <c r="BJ181" s="11"/>
      <c r="BK181" s="11"/>
      <c r="BL181" s="11"/>
      <c r="BM181" s="11"/>
      <c r="BN181" s="11"/>
      <c r="BR181" s="52">
        <v>4691000</v>
      </c>
      <c r="BS181" s="52" t="e">
        <f>VLOOKUP(M181,#REF!,2,TRUE)*(BR181/1000000)</f>
        <v>#REF!</v>
      </c>
      <c r="BT181" s="43" t="e">
        <f>VLOOKUP(M181,#REF!,3,TRUE)*(BR181/1000000)</f>
        <v>#REF!</v>
      </c>
    </row>
    <row r="182" spans="1:72" ht="15" customHeight="1" x14ac:dyDescent="0.25">
      <c r="B182" s="36">
        <v>2006</v>
      </c>
      <c r="C182" s="36" t="s">
        <v>1014</v>
      </c>
      <c r="D182" s="1" t="s">
        <v>1739</v>
      </c>
      <c r="E182" s="1" t="s">
        <v>1418</v>
      </c>
      <c r="F182" s="1" t="s">
        <v>192</v>
      </c>
      <c r="G182" s="38">
        <v>59101</v>
      </c>
      <c r="J182" s="1" t="s">
        <v>898</v>
      </c>
      <c r="K182" s="40">
        <v>0.04</v>
      </c>
      <c r="L182" s="36" t="s">
        <v>426</v>
      </c>
      <c r="M182" s="1" t="s">
        <v>307</v>
      </c>
      <c r="N182" s="36" t="s">
        <v>443</v>
      </c>
      <c r="O182" s="41">
        <v>64</v>
      </c>
      <c r="P182" s="36">
        <v>1</v>
      </c>
      <c r="Q182" s="42">
        <v>1105400</v>
      </c>
      <c r="R182" s="42"/>
      <c r="S182" s="42"/>
      <c r="T182" s="42"/>
      <c r="W182" s="8">
        <v>38756</v>
      </c>
      <c r="Y182" s="8">
        <f t="shared" si="49"/>
        <v>38756</v>
      </c>
      <c r="Z182" s="46">
        <f t="shared" si="50"/>
        <v>43869</v>
      </c>
      <c r="AA182" s="4">
        <v>15</v>
      </c>
      <c r="AB182" s="46">
        <f t="shared" si="51"/>
        <v>49348</v>
      </c>
      <c r="AC182" s="1" t="s">
        <v>671</v>
      </c>
      <c r="AD182" s="1" t="s">
        <v>672</v>
      </c>
      <c r="AE182" s="1" t="s">
        <v>673</v>
      </c>
      <c r="AF182" s="1" t="s">
        <v>26</v>
      </c>
      <c r="AG182" s="1" t="s">
        <v>473</v>
      </c>
      <c r="AH182" s="36">
        <v>80202</v>
      </c>
      <c r="AI182" s="47"/>
      <c r="AJ182" s="1" t="s">
        <v>674</v>
      </c>
      <c r="AU182" s="36">
        <v>64</v>
      </c>
      <c r="AX182" s="1">
        <v>58</v>
      </c>
      <c r="AY182" s="1">
        <v>6</v>
      </c>
      <c r="BR182" s="52">
        <v>3558624</v>
      </c>
      <c r="BS182" s="52" t="e">
        <f>VLOOKUP(M182,#REF!,2,TRUE)*(BR182/1000000)</f>
        <v>#REF!</v>
      </c>
      <c r="BT182" s="43" t="e">
        <f>VLOOKUP(M182,#REF!,3,TRUE)*(BR182/1000000)</f>
        <v>#REF!</v>
      </c>
    </row>
    <row r="183" spans="1:72" ht="15" customHeight="1" x14ac:dyDescent="0.25">
      <c r="A183" s="8">
        <v>38709</v>
      </c>
      <c r="B183" s="36">
        <v>2005</v>
      </c>
      <c r="C183" s="36" t="s">
        <v>1014</v>
      </c>
      <c r="D183" s="1" t="s">
        <v>1522</v>
      </c>
      <c r="E183" s="1" t="s">
        <v>601</v>
      </c>
      <c r="F183" s="1" t="s">
        <v>195</v>
      </c>
      <c r="G183" s="38">
        <v>59718</v>
      </c>
      <c r="J183" s="1" t="s">
        <v>314</v>
      </c>
      <c r="K183" s="40">
        <v>0.09</v>
      </c>
      <c r="L183" s="36" t="s">
        <v>84</v>
      </c>
      <c r="M183" s="1" t="s">
        <v>1169</v>
      </c>
      <c r="N183" s="36" t="s">
        <v>45</v>
      </c>
      <c r="O183" s="36">
        <v>48</v>
      </c>
      <c r="P183" s="36">
        <v>5</v>
      </c>
      <c r="Q183" s="142">
        <v>5185000</v>
      </c>
      <c r="R183" s="142"/>
      <c r="S183" s="142"/>
      <c r="T183" s="142"/>
      <c r="U183" s="143"/>
      <c r="V183" s="144"/>
      <c r="W183" s="8">
        <v>38881</v>
      </c>
      <c r="Y183" s="8">
        <f t="shared" si="49"/>
        <v>38881</v>
      </c>
      <c r="Z183" s="46">
        <f t="shared" si="50"/>
        <v>43995</v>
      </c>
      <c r="AA183" s="4">
        <v>16</v>
      </c>
      <c r="AB183" s="46">
        <f t="shared" si="51"/>
        <v>49839</v>
      </c>
      <c r="AC183" s="1" t="s">
        <v>602</v>
      </c>
      <c r="AD183" s="1" t="s">
        <v>603</v>
      </c>
      <c r="AE183" s="1" t="s">
        <v>432</v>
      </c>
      <c r="AF183" s="1" t="s">
        <v>479</v>
      </c>
      <c r="AG183" s="1" t="s">
        <v>472</v>
      </c>
      <c r="AH183" s="36">
        <v>59718</v>
      </c>
      <c r="AI183" s="47"/>
      <c r="AJ183" s="1" t="s">
        <v>163</v>
      </c>
      <c r="AU183" s="36">
        <v>48</v>
      </c>
      <c r="AX183" s="36">
        <v>18</v>
      </c>
      <c r="AY183" s="36">
        <v>29</v>
      </c>
      <c r="AZ183" s="36"/>
      <c r="BA183" s="36"/>
      <c r="BB183" s="36"/>
      <c r="BC183" s="36"/>
      <c r="BE183" s="36">
        <v>1</v>
      </c>
      <c r="BR183" s="52">
        <v>5969176</v>
      </c>
      <c r="BS183" s="52" t="e">
        <f>VLOOKUP(M183,#REF!,2,TRUE)*(BR183/1000000)</f>
        <v>#REF!</v>
      </c>
      <c r="BT183" s="43" t="e">
        <f>VLOOKUP(M183,#REF!,3,TRUE)*(BR183/1000000)</f>
        <v>#REF!</v>
      </c>
    </row>
    <row r="184" spans="1:72" ht="15" customHeight="1" x14ac:dyDescent="0.25">
      <c r="A184" s="8">
        <v>38684</v>
      </c>
      <c r="B184" s="36">
        <v>2005</v>
      </c>
      <c r="C184" s="36" t="s">
        <v>1014</v>
      </c>
      <c r="D184" s="1" t="s">
        <v>1955</v>
      </c>
      <c r="E184" s="1" t="s">
        <v>83</v>
      </c>
      <c r="F184" s="1" t="s">
        <v>912</v>
      </c>
      <c r="G184" s="38">
        <v>59840</v>
      </c>
      <c r="J184" s="1" t="s">
        <v>356</v>
      </c>
      <c r="K184" s="40">
        <v>0.09</v>
      </c>
      <c r="L184" s="36" t="s">
        <v>84</v>
      </c>
      <c r="M184" s="1" t="s">
        <v>1169</v>
      </c>
      <c r="N184" s="36" t="s">
        <v>45</v>
      </c>
      <c r="O184" s="36">
        <v>28</v>
      </c>
      <c r="P184" s="36">
        <v>3</v>
      </c>
      <c r="Q184" s="145">
        <v>3136250</v>
      </c>
      <c r="R184" s="145"/>
      <c r="S184" s="145"/>
      <c r="T184" s="145"/>
      <c r="U184" s="146"/>
      <c r="V184" s="147"/>
      <c r="W184" s="8">
        <v>38868</v>
      </c>
      <c r="Y184" s="8">
        <f t="shared" si="49"/>
        <v>38868</v>
      </c>
      <c r="Z184" s="46">
        <f t="shared" si="50"/>
        <v>43982</v>
      </c>
      <c r="AA184" s="4">
        <v>16</v>
      </c>
      <c r="AB184" s="46">
        <f t="shared" si="51"/>
        <v>49826</v>
      </c>
      <c r="AC184" s="1" t="s">
        <v>700</v>
      </c>
      <c r="AD184" s="1" t="s">
        <v>91</v>
      </c>
      <c r="AE184" s="1" t="s">
        <v>324</v>
      </c>
      <c r="AF184" s="1" t="s">
        <v>20</v>
      </c>
      <c r="AG184" s="1" t="s">
        <v>472</v>
      </c>
      <c r="AH184" s="36">
        <v>59802</v>
      </c>
      <c r="AI184" s="47"/>
      <c r="AJ184" s="1" t="s">
        <v>92</v>
      </c>
      <c r="AU184" s="36">
        <v>28</v>
      </c>
      <c r="AX184" s="36"/>
      <c r="AY184" s="36">
        <v>12</v>
      </c>
      <c r="AZ184" s="36">
        <v>16</v>
      </c>
      <c r="BA184" s="36"/>
      <c r="BB184" s="36"/>
      <c r="BC184" s="36"/>
      <c r="BD184" s="36"/>
      <c r="BR184" s="52">
        <v>3459738</v>
      </c>
      <c r="BS184" s="52" t="e">
        <f>VLOOKUP(M184,#REF!,2,TRUE)*(BR184/1000000)</f>
        <v>#REF!</v>
      </c>
      <c r="BT184" s="43" t="e">
        <f>VLOOKUP(M184,#REF!,3,TRUE)*(BR184/1000000)</f>
        <v>#REF!</v>
      </c>
    </row>
    <row r="185" spans="1:72" ht="15" customHeight="1" x14ac:dyDescent="0.25">
      <c r="A185" s="9" t="s">
        <v>419</v>
      </c>
      <c r="B185" s="92">
        <v>2005</v>
      </c>
      <c r="C185" s="92" t="s">
        <v>1583</v>
      </c>
      <c r="D185" s="93" t="s">
        <v>1587</v>
      </c>
      <c r="E185" s="93" t="s">
        <v>82</v>
      </c>
      <c r="F185" s="93" t="s">
        <v>192</v>
      </c>
      <c r="G185" s="95">
        <v>59101</v>
      </c>
      <c r="H185" s="114"/>
      <c r="I185" s="114"/>
      <c r="J185" s="93" t="s">
        <v>898</v>
      </c>
      <c r="K185" s="97">
        <v>0.09</v>
      </c>
      <c r="L185" s="92" t="s">
        <v>426</v>
      </c>
      <c r="M185" s="93" t="s">
        <v>1169</v>
      </c>
      <c r="N185" s="92" t="s">
        <v>45</v>
      </c>
      <c r="O185" s="92" t="s">
        <v>419</v>
      </c>
      <c r="P185" s="92"/>
      <c r="Q185" s="148" t="s">
        <v>419</v>
      </c>
      <c r="R185" s="148"/>
      <c r="S185" s="148"/>
      <c r="T185" s="148"/>
      <c r="U185" s="149"/>
      <c r="V185" s="150"/>
      <c r="W185" s="8" t="s">
        <v>419</v>
      </c>
      <c r="Y185" s="8">
        <f t="shared" si="49"/>
        <v>0</v>
      </c>
      <c r="AA185" s="5"/>
      <c r="AC185" s="93" t="s">
        <v>87</v>
      </c>
      <c r="AD185" s="93" t="s">
        <v>90</v>
      </c>
      <c r="AE185" s="93" t="s">
        <v>363</v>
      </c>
      <c r="AF185" s="93" t="s">
        <v>273</v>
      </c>
      <c r="AG185" s="93" t="s">
        <v>478</v>
      </c>
      <c r="AH185" s="92" t="s">
        <v>364</v>
      </c>
      <c r="AI185" s="47"/>
      <c r="AJ185" s="93" t="s">
        <v>10</v>
      </c>
      <c r="AK185" s="93"/>
      <c r="AL185" s="93"/>
      <c r="AM185" s="93"/>
      <c r="AN185" s="93"/>
      <c r="AO185" s="93"/>
      <c r="AP185" s="93"/>
      <c r="AQ185" s="93"/>
      <c r="AR185" s="93"/>
      <c r="AS185" s="93"/>
      <c r="AT185" s="103"/>
      <c r="AU185" s="92">
        <v>0</v>
      </c>
      <c r="AV185" s="93"/>
      <c r="AW185" s="93"/>
      <c r="AX185" s="92"/>
      <c r="AY185" s="92">
        <v>28</v>
      </c>
      <c r="AZ185" s="92">
        <v>18</v>
      </c>
      <c r="BA185" s="92">
        <v>2</v>
      </c>
      <c r="BB185" s="92"/>
      <c r="BC185" s="92"/>
      <c r="BD185" s="93"/>
      <c r="BE185" s="92">
        <v>1</v>
      </c>
      <c r="BR185" s="52" t="s">
        <v>419</v>
      </c>
      <c r="BS185" s="52" t="e">
        <f>VLOOKUP(M185,#REF!,2,TRUE)*(BR185/1000000)</f>
        <v>#REF!</v>
      </c>
      <c r="BT185" s="43" t="e">
        <f>VLOOKUP(M185,#REF!,3,TRUE)*(BR185/1000000)</f>
        <v>#REF!</v>
      </c>
    </row>
    <row r="186" spans="1:72" ht="15" customHeight="1" x14ac:dyDescent="0.25">
      <c r="A186" s="9" t="s">
        <v>419</v>
      </c>
      <c r="B186" s="92">
        <v>2005</v>
      </c>
      <c r="C186" s="92" t="s">
        <v>1583</v>
      </c>
      <c r="D186" s="93" t="s">
        <v>1586</v>
      </c>
      <c r="E186" s="93" t="s">
        <v>81</v>
      </c>
      <c r="F186" s="93" t="s">
        <v>1026</v>
      </c>
      <c r="G186" s="95">
        <v>59301</v>
      </c>
      <c r="H186" s="114"/>
      <c r="I186" s="114"/>
      <c r="J186" s="93" t="s">
        <v>468</v>
      </c>
      <c r="K186" s="97">
        <v>0.09</v>
      </c>
      <c r="L186" s="92" t="s">
        <v>426</v>
      </c>
      <c r="M186" s="93" t="s">
        <v>307</v>
      </c>
      <c r="N186" s="92" t="s">
        <v>45</v>
      </c>
      <c r="O186" s="92" t="s">
        <v>419</v>
      </c>
      <c r="P186" s="92"/>
      <c r="Q186" s="148" t="s">
        <v>419</v>
      </c>
      <c r="R186" s="148"/>
      <c r="S186" s="148"/>
      <c r="T186" s="148"/>
      <c r="U186" s="149"/>
      <c r="V186" s="150"/>
      <c r="W186" s="8" t="s">
        <v>419</v>
      </c>
      <c r="Y186" s="8">
        <f t="shared" si="49"/>
        <v>0</v>
      </c>
      <c r="AA186" s="5"/>
      <c r="AC186" s="93" t="s">
        <v>86</v>
      </c>
      <c r="AD186" s="93" t="s">
        <v>89</v>
      </c>
      <c r="AE186" s="93" t="s">
        <v>114</v>
      </c>
      <c r="AF186" s="93" t="s">
        <v>482</v>
      </c>
      <c r="AG186" s="93" t="s">
        <v>472</v>
      </c>
      <c r="AH186" s="92">
        <v>59301</v>
      </c>
      <c r="AI186" s="47"/>
      <c r="AJ186" s="93" t="s">
        <v>388</v>
      </c>
      <c r="AK186" s="93"/>
      <c r="AL186" s="93"/>
      <c r="AM186" s="93"/>
      <c r="AN186" s="93"/>
      <c r="AO186" s="93"/>
      <c r="AP186" s="93"/>
      <c r="AQ186" s="93"/>
      <c r="AR186" s="93"/>
      <c r="AS186" s="93"/>
      <c r="AT186" s="103"/>
      <c r="AU186" s="92">
        <v>0</v>
      </c>
      <c r="AV186" s="93"/>
      <c r="AW186" s="93"/>
      <c r="AX186" s="92">
        <v>3</v>
      </c>
      <c r="AY186" s="92">
        <v>7</v>
      </c>
      <c r="AZ186" s="92">
        <v>11</v>
      </c>
      <c r="BA186" s="92"/>
      <c r="BB186" s="92"/>
      <c r="BC186" s="92"/>
      <c r="BD186" s="92"/>
      <c r="BE186" s="93"/>
      <c r="BR186" s="52" t="s">
        <v>419</v>
      </c>
      <c r="BS186" s="52" t="e">
        <f>VLOOKUP(M186,#REF!,2,TRUE)*(BR186/1000000)</f>
        <v>#REF!</v>
      </c>
      <c r="BT186" s="43" t="e">
        <f>VLOOKUP(M186,#REF!,3,TRUE)*(BR186/1000000)</f>
        <v>#REF!</v>
      </c>
    </row>
    <row r="187" spans="1:72" ht="15" customHeight="1" x14ac:dyDescent="0.25">
      <c r="B187" s="36">
        <v>2005</v>
      </c>
      <c r="C187" s="36" t="s">
        <v>1014</v>
      </c>
      <c r="D187" s="1" t="s">
        <v>1949</v>
      </c>
      <c r="E187" s="1" t="s">
        <v>1417</v>
      </c>
      <c r="F187" s="1" t="s">
        <v>1274</v>
      </c>
      <c r="G187" s="38">
        <v>59526</v>
      </c>
      <c r="J187" s="1" t="s">
        <v>171</v>
      </c>
      <c r="K187" s="40">
        <v>0.09</v>
      </c>
      <c r="L187" s="36" t="s">
        <v>454</v>
      </c>
      <c r="M187" s="1" t="s">
        <v>1169</v>
      </c>
      <c r="N187" s="36" t="s">
        <v>45</v>
      </c>
      <c r="O187" s="36">
        <v>52</v>
      </c>
      <c r="P187" s="36">
        <v>49</v>
      </c>
      <c r="Q187" s="142">
        <v>4515620</v>
      </c>
      <c r="R187" s="142"/>
      <c r="S187" s="142"/>
      <c r="T187" s="142"/>
      <c r="U187" s="143"/>
      <c r="V187" s="144"/>
      <c r="W187" s="8">
        <v>38930</v>
      </c>
      <c r="Y187" s="8">
        <f t="shared" si="49"/>
        <v>38930</v>
      </c>
      <c r="Z187" s="46">
        <f t="shared" si="50"/>
        <v>44044</v>
      </c>
      <c r="AA187" s="4">
        <v>31</v>
      </c>
      <c r="AB187" s="46">
        <f t="shared" ref="AB187:AB192" si="52">DATE(YEAR(Z187)+AA187,MONTH(Z187),DAY(Z187))</f>
        <v>55366</v>
      </c>
      <c r="AC187" s="1" t="s">
        <v>662</v>
      </c>
      <c r="AD187" s="1" t="s">
        <v>663</v>
      </c>
      <c r="AE187" s="1" t="s">
        <v>664</v>
      </c>
      <c r="AF187" s="1" t="s">
        <v>173</v>
      </c>
      <c r="AG187" s="1" t="s">
        <v>472</v>
      </c>
      <c r="AH187" s="36">
        <v>59526</v>
      </c>
      <c r="AI187" s="47"/>
      <c r="AJ187" s="1" t="s">
        <v>42</v>
      </c>
      <c r="AU187" s="36">
        <v>52</v>
      </c>
      <c r="AX187" s="36"/>
      <c r="AY187" s="36">
        <v>4</v>
      </c>
      <c r="AZ187" s="36">
        <v>40</v>
      </c>
      <c r="BA187" s="36">
        <v>4</v>
      </c>
      <c r="BB187" s="36">
        <v>4</v>
      </c>
      <c r="BC187" s="36"/>
      <c r="BD187" s="36" t="s">
        <v>419</v>
      </c>
      <c r="BR187" s="52">
        <v>5956768</v>
      </c>
      <c r="BS187" s="52" t="e">
        <f>VLOOKUP(M187,#REF!,2,TRUE)*(BR187/1000000)</f>
        <v>#REF!</v>
      </c>
      <c r="BT187" s="43" t="e">
        <f>VLOOKUP(M187,#REF!,3,TRUE)*(BR187/1000000)</f>
        <v>#REF!</v>
      </c>
    </row>
    <row r="188" spans="1:72" ht="15" customHeight="1" x14ac:dyDescent="0.25">
      <c r="A188" s="8">
        <v>38344</v>
      </c>
      <c r="B188" s="36">
        <v>2005</v>
      </c>
      <c r="C188" s="36" t="s">
        <v>1014</v>
      </c>
      <c r="D188" s="1" t="s">
        <v>1521</v>
      </c>
      <c r="E188" s="1" t="s">
        <v>80</v>
      </c>
      <c r="F188" s="1" t="s">
        <v>133</v>
      </c>
      <c r="G188" s="38">
        <v>59417</v>
      </c>
      <c r="J188" s="1" t="s">
        <v>361</v>
      </c>
      <c r="K188" s="40">
        <v>0.09</v>
      </c>
      <c r="L188" s="36" t="s">
        <v>454</v>
      </c>
      <c r="M188" s="1" t="s">
        <v>1169</v>
      </c>
      <c r="N188" s="36" t="s">
        <v>45</v>
      </c>
      <c r="O188" s="36">
        <v>25</v>
      </c>
      <c r="P188" s="36">
        <v>25</v>
      </c>
      <c r="Q188" s="145">
        <v>3059280</v>
      </c>
      <c r="R188" s="145"/>
      <c r="S188" s="145"/>
      <c r="T188" s="145"/>
      <c r="U188" s="146"/>
      <c r="V188" s="147"/>
      <c r="W188" s="8">
        <v>39211</v>
      </c>
      <c r="Y188" s="8">
        <f t="shared" si="49"/>
        <v>39211</v>
      </c>
      <c r="Z188" s="46">
        <f t="shared" si="50"/>
        <v>44325</v>
      </c>
      <c r="AA188" s="4">
        <v>31</v>
      </c>
      <c r="AB188" s="46">
        <f t="shared" si="52"/>
        <v>55648</v>
      </c>
      <c r="AC188" s="1" t="s">
        <v>85</v>
      </c>
      <c r="AD188" s="1" t="s">
        <v>88</v>
      </c>
      <c r="AE188" s="1" t="s">
        <v>266</v>
      </c>
      <c r="AF188" s="1" t="s">
        <v>264</v>
      </c>
      <c r="AG188" s="1" t="s">
        <v>472</v>
      </c>
      <c r="AH188" s="36">
        <v>59417</v>
      </c>
      <c r="AI188" s="47"/>
      <c r="AJ188" s="1" t="s">
        <v>682</v>
      </c>
      <c r="AU188" s="36">
        <v>23</v>
      </c>
      <c r="AX188" s="36" t="s">
        <v>419</v>
      </c>
      <c r="AY188" s="36" t="s">
        <v>419</v>
      </c>
      <c r="AZ188" s="36">
        <v>8</v>
      </c>
      <c r="BA188" s="36">
        <v>15</v>
      </c>
      <c r="BB188" s="36"/>
      <c r="BC188" s="36"/>
      <c r="BD188" s="36" t="s">
        <v>419</v>
      </c>
      <c r="BR188" s="52">
        <v>4066005</v>
      </c>
      <c r="BS188" s="52" t="e">
        <f>VLOOKUP(M188,#REF!,2,TRUE)*(BR188/1000000)</f>
        <v>#REF!</v>
      </c>
      <c r="BT188" s="43" t="e">
        <f>VLOOKUP(M188,#REF!,3,TRUE)*(BR188/1000000)</f>
        <v>#REF!</v>
      </c>
    </row>
    <row r="189" spans="1:72" ht="15" customHeight="1" x14ac:dyDescent="0.25">
      <c r="A189" s="8">
        <v>38313</v>
      </c>
      <c r="B189" s="36">
        <v>2004</v>
      </c>
      <c r="C189" s="36" t="s">
        <v>1014</v>
      </c>
      <c r="D189" s="1" t="s">
        <v>1740</v>
      </c>
      <c r="E189" s="1" t="s">
        <v>543</v>
      </c>
      <c r="F189" s="1" t="s">
        <v>192</v>
      </c>
      <c r="G189" s="38">
        <v>59102</v>
      </c>
      <c r="J189" s="1" t="s">
        <v>898</v>
      </c>
      <c r="K189" s="40">
        <v>0.04</v>
      </c>
      <c r="M189" s="1" t="s">
        <v>307</v>
      </c>
      <c r="N189" s="36" t="s">
        <v>45</v>
      </c>
      <c r="O189" s="41">
        <v>112</v>
      </c>
      <c r="P189" s="36">
        <v>12</v>
      </c>
      <c r="Q189" s="42">
        <v>2314310</v>
      </c>
      <c r="R189" s="42"/>
      <c r="S189" s="42"/>
      <c r="T189" s="42"/>
      <c r="W189" s="8">
        <v>38418</v>
      </c>
      <c r="Y189" s="8">
        <f t="shared" si="49"/>
        <v>38418</v>
      </c>
      <c r="Z189" s="46">
        <f t="shared" si="50"/>
        <v>43531</v>
      </c>
      <c r="AA189" s="4">
        <v>5</v>
      </c>
      <c r="AB189" s="46">
        <f t="shared" si="52"/>
        <v>45358</v>
      </c>
      <c r="AC189" s="1" t="s">
        <v>711</v>
      </c>
      <c r="AD189" s="1" t="s">
        <v>544</v>
      </c>
      <c r="AE189" s="1" t="s">
        <v>712</v>
      </c>
      <c r="AF189" s="1" t="s">
        <v>26</v>
      </c>
      <c r="AG189" s="1" t="s">
        <v>473</v>
      </c>
      <c r="AH189" s="36">
        <v>80202</v>
      </c>
      <c r="AI189" s="47"/>
      <c r="AJ189" s="1" t="s">
        <v>674</v>
      </c>
      <c r="BR189" s="52">
        <v>6542294</v>
      </c>
      <c r="BS189" s="52" t="e">
        <f>VLOOKUP(M189,#REF!,2,TRUE)*(BR189/1000000)</f>
        <v>#REF!</v>
      </c>
      <c r="BT189" s="43" t="e">
        <f>VLOOKUP(M189,#REF!,3,TRUE)*(BR189/1000000)</f>
        <v>#REF!</v>
      </c>
    </row>
    <row r="190" spans="1:72" s="71" customFormat="1" ht="15" customHeight="1" x14ac:dyDescent="0.25">
      <c r="A190" s="8">
        <v>38344</v>
      </c>
      <c r="B190" s="36">
        <v>2004</v>
      </c>
      <c r="C190" s="36" t="s">
        <v>1014</v>
      </c>
      <c r="D190" s="1" t="s">
        <v>1520</v>
      </c>
      <c r="E190" s="1" t="s">
        <v>6</v>
      </c>
      <c r="F190" s="1" t="s">
        <v>887</v>
      </c>
      <c r="G190" s="38">
        <v>59601</v>
      </c>
      <c r="H190" s="39"/>
      <c r="I190" s="39"/>
      <c r="J190" s="37" t="s">
        <v>913</v>
      </c>
      <c r="K190" s="40">
        <v>0.09</v>
      </c>
      <c r="L190" s="36" t="s">
        <v>429</v>
      </c>
      <c r="M190" s="1" t="s">
        <v>1169</v>
      </c>
      <c r="N190" s="36" t="s">
        <v>45</v>
      </c>
      <c r="O190" s="41">
        <v>31</v>
      </c>
      <c r="P190" s="36">
        <v>5</v>
      </c>
      <c r="Q190" s="42">
        <v>2345000</v>
      </c>
      <c r="R190" s="42"/>
      <c r="S190" s="42"/>
      <c r="T190" s="42"/>
      <c r="U190" s="53"/>
      <c r="V190" s="45"/>
      <c r="W190" s="8">
        <v>38504</v>
      </c>
      <c r="X190" s="8"/>
      <c r="Y190" s="8">
        <f t="shared" si="49"/>
        <v>38504</v>
      </c>
      <c r="Z190" s="46">
        <f t="shared" si="50"/>
        <v>43617</v>
      </c>
      <c r="AA190" s="4">
        <v>16</v>
      </c>
      <c r="AB190" s="46">
        <f t="shared" si="52"/>
        <v>49461</v>
      </c>
      <c r="AC190" s="1" t="s">
        <v>357</v>
      </c>
      <c r="AD190" s="1" t="s">
        <v>340</v>
      </c>
      <c r="AE190" s="1" t="s">
        <v>358</v>
      </c>
      <c r="AF190" s="1" t="s">
        <v>15</v>
      </c>
      <c r="AG190" s="1" t="s">
        <v>472</v>
      </c>
      <c r="AH190" s="36">
        <v>59601</v>
      </c>
      <c r="AI190" s="47"/>
      <c r="AJ190" s="1" t="s">
        <v>346</v>
      </c>
      <c r="AK190" s="1"/>
      <c r="AL190" s="1"/>
      <c r="AM190" s="1"/>
      <c r="AN190" s="1"/>
      <c r="AO190" s="1"/>
      <c r="AP190" s="1"/>
      <c r="AQ190" s="1"/>
      <c r="AR190" s="1"/>
      <c r="AS190" s="1"/>
      <c r="AT190" s="56"/>
      <c r="AU190" s="36">
        <v>31</v>
      </c>
      <c r="AV190" s="1"/>
      <c r="AW190" s="1"/>
      <c r="AX190" s="1">
        <v>23</v>
      </c>
      <c r="AY190" s="1">
        <v>8</v>
      </c>
      <c r="AZ190" s="1"/>
      <c r="BA190" s="1"/>
      <c r="BB190" s="1"/>
      <c r="BC190" s="1"/>
      <c r="BD190" s="1"/>
      <c r="BE190" s="1"/>
      <c r="BF190" s="11"/>
      <c r="BG190" s="11"/>
      <c r="BH190" s="11"/>
      <c r="BI190" s="11"/>
      <c r="BJ190" s="11"/>
      <c r="BK190" s="11"/>
      <c r="BL190" s="11"/>
      <c r="BM190" s="11"/>
      <c r="BN190" s="11"/>
      <c r="BR190" s="52">
        <v>2921650</v>
      </c>
      <c r="BS190" s="52" t="e">
        <f>VLOOKUP(M190,#REF!,2,TRUE)*(BR190/1000000)</f>
        <v>#REF!</v>
      </c>
      <c r="BT190" s="43" t="e">
        <f>VLOOKUP(M190,#REF!,3,TRUE)*(BR190/1000000)</f>
        <v>#REF!</v>
      </c>
    </row>
    <row r="191" spans="1:72" ht="15" customHeight="1" x14ac:dyDescent="0.25">
      <c r="A191" s="8">
        <v>38344</v>
      </c>
      <c r="B191" s="36">
        <v>2004</v>
      </c>
      <c r="C191" s="36" t="s">
        <v>1014</v>
      </c>
      <c r="D191" s="1" t="s">
        <v>1519</v>
      </c>
      <c r="E191" s="1" t="s">
        <v>1416</v>
      </c>
      <c r="F191" s="1" t="s">
        <v>338</v>
      </c>
      <c r="G191" s="38">
        <v>59808</v>
      </c>
      <c r="J191" s="1" t="s">
        <v>338</v>
      </c>
      <c r="K191" s="40">
        <v>0.09</v>
      </c>
      <c r="M191" s="1" t="s">
        <v>1169</v>
      </c>
      <c r="N191" s="36" t="s">
        <v>45</v>
      </c>
      <c r="O191" s="41">
        <v>30</v>
      </c>
      <c r="P191" s="36">
        <v>3</v>
      </c>
      <c r="Q191" s="42">
        <v>4639000</v>
      </c>
      <c r="R191" s="42"/>
      <c r="S191" s="42"/>
      <c r="T191" s="42"/>
      <c r="W191" s="8">
        <v>38565</v>
      </c>
      <c r="Y191" s="8">
        <f t="shared" si="49"/>
        <v>38565</v>
      </c>
      <c r="Z191" s="46">
        <f t="shared" si="50"/>
        <v>43678</v>
      </c>
      <c r="AA191" s="4">
        <v>16</v>
      </c>
      <c r="AB191" s="46">
        <f t="shared" si="52"/>
        <v>49522</v>
      </c>
      <c r="AC191" s="1" t="s">
        <v>347</v>
      </c>
      <c r="AD191" s="1" t="s">
        <v>288</v>
      </c>
      <c r="AE191" s="1" t="s">
        <v>164</v>
      </c>
      <c r="AF191" s="1" t="s">
        <v>20</v>
      </c>
      <c r="AG191" s="1" t="s">
        <v>472</v>
      </c>
      <c r="AH191" s="36">
        <v>59803</v>
      </c>
      <c r="AI191" s="47"/>
      <c r="AJ191" s="1" t="s">
        <v>581</v>
      </c>
      <c r="AU191" s="36">
        <v>31</v>
      </c>
      <c r="AY191" s="1">
        <v>16</v>
      </c>
      <c r="AZ191" s="1">
        <v>15</v>
      </c>
      <c r="BR191" s="52">
        <v>5098539</v>
      </c>
      <c r="BS191" s="52" t="e">
        <f>VLOOKUP(M191,#REF!,2,TRUE)*(BR191/1000000)</f>
        <v>#REF!</v>
      </c>
      <c r="BT191" s="43" t="e">
        <f>VLOOKUP(M191,#REF!,3,TRUE)*(BR191/1000000)</f>
        <v>#REF!</v>
      </c>
    </row>
    <row r="192" spans="1:72" ht="15" customHeight="1" x14ac:dyDescent="0.25">
      <c r="A192" s="8">
        <v>38344</v>
      </c>
      <c r="B192" s="36">
        <v>2004</v>
      </c>
      <c r="C192" s="36" t="s">
        <v>1014</v>
      </c>
      <c r="D192" s="1" t="s">
        <v>1518</v>
      </c>
      <c r="E192" s="1" t="s">
        <v>5</v>
      </c>
      <c r="F192" s="1" t="s">
        <v>338</v>
      </c>
      <c r="G192" s="38">
        <v>59801</v>
      </c>
      <c r="J192" s="1" t="s">
        <v>338</v>
      </c>
      <c r="K192" s="40">
        <v>0.09</v>
      </c>
      <c r="L192" s="36" t="s">
        <v>429</v>
      </c>
      <c r="M192" s="1" t="s">
        <v>1169</v>
      </c>
      <c r="N192" s="36" t="s">
        <v>45</v>
      </c>
      <c r="O192" s="41">
        <v>16</v>
      </c>
      <c r="P192" s="36">
        <v>8</v>
      </c>
      <c r="Q192" s="42">
        <v>2150000</v>
      </c>
      <c r="R192" s="42"/>
      <c r="S192" s="42"/>
      <c r="T192" s="42"/>
      <c r="W192" s="8">
        <v>38736</v>
      </c>
      <c r="Y192" s="8">
        <f t="shared" si="49"/>
        <v>38736</v>
      </c>
      <c r="Z192" s="46">
        <f t="shared" si="50"/>
        <v>43849</v>
      </c>
      <c r="AA192" s="4">
        <v>16</v>
      </c>
      <c r="AB192" s="46">
        <f t="shared" si="52"/>
        <v>49693</v>
      </c>
      <c r="AC192" s="1" t="s">
        <v>690</v>
      </c>
      <c r="AD192" s="1" t="s">
        <v>345</v>
      </c>
      <c r="AE192" s="1" t="s">
        <v>301</v>
      </c>
      <c r="AF192" s="1" t="s">
        <v>20</v>
      </c>
      <c r="AG192" s="1" t="s">
        <v>472</v>
      </c>
      <c r="AH192" s="36">
        <v>59801</v>
      </c>
      <c r="AI192" s="47"/>
      <c r="AJ192" s="1" t="s">
        <v>691</v>
      </c>
      <c r="AU192" s="36">
        <v>16</v>
      </c>
      <c r="AY192" s="1">
        <v>8</v>
      </c>
      <c r="AZ192" s="1">
        <v>8</v>
      </c>
      <c r="BR192" s="52">
        <v>3461654</v>
      </c>
      <c r="BS192" s="52" t="e">
        <f>VLOOKUP(M192,#REF!,2,TRUE)*(BR192/1000000)</f>
        <v>#REF!</v>
      </c>
      <c r="BT192" s="43" t="e">
        <f>VLOOKUP(M192,#REF!,3,TRUE)*(BR192/1000000)</f>
        <v>#REF!</v>
      </c>
    </row>
    <row r="193" spans="1:72" ht="15" customHeight="1" x14ac:dyDescent="0.25">
      <c r="A193" s="9" t="s">
        <v>419</v>
      </c>
      <c r="B193" s="92">
        <v>2004</v>
      </c>
      <c r="C193" s="92" t="s">
        <v>1583</v>
      </c>
      <c r="D193" s="93" t="s">
        <v>1585</v>
      </c>
      <c r="E193" s="93" t="s">
        <v>1415</v>
      </c>
      <c r="F193" s="93" t="s">
        <v>195</v>
      </c>
      <c r="G193" s="95">
        <v>59715</v>
      </c>
      <c r="H193" s="114"/>
      <c r="I193" s="114"/>
      <c r="J193" s="93" t="s">
        <v>314</v>
      </c>
      <c r="K193" s="97">
        <v>0.09</v>
      </c>
      <c r="L193" s="92" t="s">
        <v>429</v>
      </c>
      <c r="M193" s="93" t="s">
        <v>1169</v>
      </c>
      <c r="N193" s="92" t="s">
        <v>443</v>
      </c>
      <c r="O193" s="98" t="s">
        <v>419</v>
      </c>
      <c r="P193" s="92"/>
      <c r="Q193" s="99" t="s">
        <v>419</v>
      </c>
      <c r="R193" s="99"/>
      <c r="S193" s="99"/>
      <c r="T193" s="99"/>
      <c r="U193" s="100"/>
      <c r="V193" s="101"/>
      <c r="W193" s="8" t="s">
        <v>419</v>
      </c>
      <c r="Y193" s="8">
        <f t="shared" si="49"/>
        <v>0</v>
      </c>
      <c r="AA193" s="5"/>
      <c r="AC193" s="93"/>
      <c r="AD193" s="93"/>
      <c r="AE193" s="93"/>
      <c r="AF193" s="93"/>
      <c r="AG193" s="93"/>
      <c r="AH193" s="92"/>
      <c r="AI193" s="47"/>
      <c r="AJ193" s="93"/>
      <c r="AK193" s="93"/>
      <c r="AL193" s="93"/>
      <c r="AM193" s="93"/>
      <c r="AN193" s="93"/>
      <c r="AO193" s="93"/>
      <c r="AP193" s="93"/>
      <c r="AQ193" s="93"/>
      <c r="AR193" s="93"/>
      <c r="AS193" s="93"/>
      <c r="AT193" s="103"/>
      <c r="AU193" s="92"/>
      <c r="AV193" s="93"/>
      <c r="AW193" s="93"/>
      <c r="AX193" s="93"/>
      <c r="AY193" s="93"/>
      <c r="AZ193" s="93"/>
      <c r="BA193" s="93"/>
      <c r="BB193" s="93"/>
      <c r="BC193" s="93"/>
      <c r="BD193" s="93"/>
      <c r="BE193" s="93"/>
      <c r="BR193" s="52" t="s">
        <v>419</v>
      </c>
      <c r="BS193" s="52" t="e">
        <f>VLOOKUP(M193,#REF!,2,TRUE)*(BR193/1000000)</f>
        <v>#REF!</v>
      </c>
      <c r="BT193" s="43" t="e">
        <f>VLOOKUP(M193,#REF!,3,TRUE)*(BR193/1000000)</f>
        <v>#REF!</v>
      </c>
    </row>
    <row r="194" spans="1:72" ht="15" customHeight="1" x14ac:dyDescent="0.25">
      <c r="A194" s="9" t="s">
        <v>419</v>
      </c>
      <c r="B194" s="92">
        <v>2004</v>
      </c>
      <c r="C194" s="92" t="s">
        <v>1583</v>
      </c>
      <c r="D194" s="93" t="s">
        <v>1584</v>
      </c>
      <c r="E194" s="93" t="s">
        <v>4</v>
      </c>
      <c r="F194" s="93" t="s">
        <v>338</v>
      </c>
      <c r="G194" s="95">
        <v>59801</v>
      </c>
      <c r="H194" s="114"/>
      <c r="I194" s="114"/>
      <c r="J194" s="93" t="s">
        <v>338</v>
      </c>
      <c r="K194" s="97">
        <v>0.09</v>
      </c>
      <c r="L194" s="92" t="s">
        <v>196</v>
      </c>
      <c r="M194" s="93" t="s">
        <v>307</v>
      </c>
      <c r="N194" s="92" t="s">
        <v>45</v>
      </c>
      <c r="O194" s="98" t="s">
        <v>419</v>
      </c>
      <c r="P194" s="92"/>
      <c r="Q194" s="99" t="s">
        <v>419</v>
      </c>
      <c r="R194" s="99"/>
      <c r="S194" s="99"/>
      <c r="T194" s="99"/>
      <c r="U194" s="100"/>
      <c r="V194" s="101"/>
      <c r="W194" s="8" t="s">
        <v>419</v>
      </c>
      <c r="Y194" s="8">
        <f t="shared" si="49"/>
        <v>0</v>
      </c>
      <c r="AA194" s="5"/>
      <c r="AC194" s="93"/>
      <c r="AD194" s="93"/>
      <c r="AE194" s="93"/>
      <c r="AF194" s="93"/>
      <c r="AG194" s="93"/>
      <c r="AH194" s="92"/>
      <c r="AI194" s="47"/>
      <c r="AJ194" s="93"/>
      <c r="AK194" s="93"/>
      <c r="AL194" s="93"/>
      <c r="AM194" s="93"/>
      <c r="AN194" s="93"/>
      <c r="AO194" s="93"/>
      <c r="AP194" s="93"/>
      <c r="AQ194" s="93"/>
      <c r="AR194" s="93"/>
      <c r="AS194" s="93"/>
      <c r="AT194" s="103"/>
      <c r="AU194" s="92"/>
      <c r="AV194" s="93"/>
      <c r="AW194" s="93"/>
      <c r="AX194" s="93"/>
      <c r="AY194" s="93"/>
      <c r="AZ194" s="93"/>
      <c r="BA194" s="93"/>
      <c r="BB194" s="93"/>
      <c r="BC194" s="93"/>
      <c r="BD194" s="93"/>
      <c r="BE194" s="93"/>
      <c r="BR194" s="52" t="s">
        <v>419</v>
      </c>
      <c r="BS194" s="52" t="e">
        <f>VLOOKUP(M194,#REF!,2,TRUE)*(BR194/1000000)</f>
        <v>#REF!</v>
      </c>
      <c r="BT194" s="43" t="e">
        <f>VLOOKUP(M194,#REF!,3,TRUE)*(BR194/1000000)</f>
        <v>#REF!</v>
      </c>
    </row>
    <row r="195" spans="1:72" ht="15" customHeight="1" x14ac:dyDescent="0.25">
      <c r="A195" s="8">
        <v>38344</v>
      </c>
      <c r="B195" s="36">
        <v>2004</v>
      </c>
      <c r="C195" s="36" t="s">
        <v>1014</v>
      </c>
      <c r="D195" s="1" t="s">
        <v>1517</v>
      </c>
      <c r="E195" s="1" t="s">
        <v>3</v>
      </c>
      <c r="F195" s="1" t="s">
        <v>1021</v>
      </c>
      <c r="G195" s="38">
        <v>59855</v>
      </c>
      <c r="J195" s="1" t="s">
        <v>900</v>
      </c>
      <c r="K195" s="40">
        <v>0.09</v>
      </c>
      <c r="L195" s="36" t="s">
        <v>454</v>
      </c>
      <c r="M195" s="1" t="s">
        <v>1169</v>
      </c>
      <c r="N195" s="36" t="s">
        <v>45</v>
      </c>
      <c r="O195" s="41">
        <v>12</v>
      </c>
      <c r="P195" s="36">
        <v>6</v>
      </c>
      <c r="Q195" s="42">
        <v>775360</v>
      </c>
      <c r="R195" s="42"/>
      <c r="S195" s="42"/>
      <c r="T195" s="42"/>
      <c r="W195" s="8">
        <v>38937</v>
      </c>
      <c r="Y195" s="8">
        <f t="shared" si="49"/>
        <v>38937</v>
      </c>
      <c r="Z195" s="46">
        <f t="shared" si="50"/>
        <v>44051</v>
      </c>
      <c r="AA195" s="4">
        <v>16</v>
      </c>
      <c r="AB195" s="46">
        <f>DATE(YEAR(Z195)+AA195,MONTH(Z195),DAY(Z195))</f>
        <v>49895</v>
      </c>
      <c r="AC195" s="1" t="s">
        <v>8</v>
      </c>
      <c r="AD195" s="1" t="s">
        <v>538</v>
      </c>
      <c r="AE195" s="1" t="s">
        <v>228</v>
      </c>
      <c r="AF195" s="1" t="s">
        <v>126</v>
      </c>
      <c r="AG195" s="1" t="s">
        <v>472</v>
      </c>
      <c r="AH195" s="36">
        <v>59855</v>
      </c>
      <c r="AI195" s="47"/>
      <c r="AJ195" s="1" t="s">
        <v>451</v>
      </c>
      <c r="AU195" s="36">
        <v>12</v>
      </c>
      <c r="AY195" s="1">
        <v>12</v>
      </c>
      <c r="BR195" s="52">
        <v>1444506</v>
      </c>
      <c r="BS195" s="52" t="e">
        <f>VLOOKUP(M195,#REF!,2,TRUE)*(BR195/1000000)</f>
        <v>#REF!</v>
      </c>
      <c r="BT195" s="43" t="e">
        <f>VLOOKUP(M195,#REF!,3,TRUE)*(BR195/1000000)</f>
        <v>#REF!</v>
      </c>
    </row>
    <row r="196" spans="1:72" ht="15" customHeight="1" x14ac:dyDescent="0.25">
      <c r="A196" s="8">
        <v>38344</v>
      </c>
      <c r="B196" s="36">
        <v>2004</v>
      </c>
      <c r="C196" s="36" t="s">
        <v>1014</v>
      </c>
      <c r="D196" s="1" t="s">
        <v>1516</v>
      </c>
      <c r="E196" s="1" t="s">
        <v>2</v>
      </c>
      <c r="F196" s="1" t="s">
        <v>338</v>
      </c>
      <c r="G196" s="38">
        <v>59801</v>
      </c>
      <c r="J196" s="1" t="s">
        <v>338</v>
      </c>
      <c r="K196" s="40">
        <v>0.09</v>
      </c>
      <c r="L196" s="36" t="s">
        <v>429</v>
      </c>
      <c r="M196" s="1" t="s">
        <v>1169</v>
      </c>
      <c r="N196" s="36" t="s">
        <v>45</v>
      </c>
      <c r="O196" s="41">
        <v>35</v>
      </c>
      <c r="P196" s="36">
        <v>4</v>
      </c>
      <c r="Q196" s="42">
        <v>4777960</v>
      </c>
      <c r="R196" s="42"/>
      <c r="S196" s="42"/>
      <c r="T196" s="42"/>
      <c r="W196" s="8">
        <v>38687</v>
      </c>
      <c r="Y196" s="8">
        <f t="shared" si="49"/>
        <v>38687</v>
      </c>
      <c r="Z196" s="46">
        <f t="shared" si="50"/>
        <v>43800</v>
      </c>
      <c r="AA196" s="4">
        <v>20</v>
      </c>
      <c r="AB196" s="46">
        <f>DATE(YEAR(Z196)+AA196,MONTH(Z196),DAY(Z196))</f>
        <v>51105</v>
      </c>
      <c r="AC196" s="1" t="s">
        <v>705</v>
      </c>
      <c r="AD196" s="1" t="s">
        <v>676</v>
      </c>
      <c r="AE196" s="1" t="s">
        <v>433</v>
      </c>
      <c r="AF196" s="1" t="s">
        <v>20</v>
      </c>
      <c r="AG196" s="1" t="s">
        <v>472</v>
      </c>
      <c r="AH196" s="36">
        <v>59802</v>
      </c>
      <c r="AI196" s="47"/>
      <c r="AJ196" s="1" t="s">
        <v>165</v>
      </c>
      <c r="AU196" s="36">
        <v>35</v>
      </c>
      <c r="AX196" s="1">
        <v>18</v>
      </c>
      <c r="AY196" s="1">
        <v>12</v>
      </c>
      <c r="AZ196" s="1">
        <v>5</v>
      </c>
      <c r="BR196" s="52">
        <v>6757322</v>
      </c>
      <c r="BS196" s="52" t="e">
        <f>VLOOKUP(M196,#REF!,2,TRUE)*(BR196/1000000)</f>
        <v>#REF!</v>
      </c>
      <c r="BT196" s="43" t="e">
        <f>VLOOKUP(M196,#REF!,3,TRUE)*(BR196/1000000)</f>
        <v>#REF!</v>
      </c>
    </row>
    <row r="197" spans="1:72" ht="15" customHeight="1" x14ac:dyDescent="0.25">
      <c r="A197" s="8">
        <v>38344</v>
      </c>
      <c r="B197" s="36">
        <v>2004</v>
      </c>
      <c r="C197" s="36" t="s">
        <v>1014</v>
      </c>
      <c r="D197" s="1" t="s">
        <v>1916</v>
      </c>
      <c r="E197" s="1" t="s">
        <v>0</v>
      </c>
      <c r="F197" s="1" t="s">
        <v>195</v>
      </c>
      <c r="G197" s="38">
        <v>59715</v>
      </c>
      <c r="J197" s="1" t="s">
        <v>314</v>
      </c>
      <c r="K197" s="40">
        <v>0.09</v>
      </c>
      <c r="M197" s="1" t="s">
        <v>1169</v>
      </c>
      <c r="N197" s="36" t="s">
        <v>45</v>
      </c>
      <c r="O197" s="41">
        <v>46</v>
      </c>
      <c r="P197" s="36">
        <v>3</v>
      </c>
      <c r="Q197" s="42">
        <v>5187500</v>
      </c>
      <c r="R197" s="42"/>
      <c r="S197" s="42"/>
      <c r="T197" s="42"/>
      <c r="W197" s="8">
        <v>38504</v>
      </c>
      <c r="Y197" s="8">
        <f t="shared" si="49"/>
        <v>38504</v>
      </c>
      <c r="Z197" s="46">
        <f t="shared" si="50"/>
        <v>43617</v>
      </c>
      <c r="AA197" s="4">
        <v>16</v>
      </c>
      <c r="AB197" s="46">
        <f>DATE(YEAR(Z197)+AA197,MONTH(Z197),DAY(Z197))</f>
        <v>49461</v>
      </c>
      <c r="AC197" s="1" t="s">
        <v>283</v>
      </c>
      <c r="AD197" s="1" t="s">
        <v>605</v>
      </c>
      <c r="AE197" s="1" t="s">
        <v>432</v>
      </c>
      <c r="AF197" s="1" t="s">
        <v>479</v>
      </c>
      <c r="AG197" s="1" t="s">
        <v>472</v>
      </c>
      <c r="AH197" s="36">
        <v>59718</v>
      </c>
      <c r="AI197" s="47"/>
      <c r="AJ197" s="1" t="s">
        <v>163</v>
      </c>
      <c r="AU197" s="36">
        <v>46</v>
      </c>
      <c r="AX197" s="1">
        <v>18</v>
      </c>
      <c r="AY197" s="1">
        <v>28</v>
      </c>
      <c r="BR197" s="52">
        <v>5238586</v>
      </c>
      <c r="BS197" s="52" t="e">
        <f>VLOOKUP(M197,#REF!,2,TRUE)*(BR197/1000000)</f>
        <v>#REF!</v>
      </c>
      <c r="BT197" s="43" t="e">
        <f>VLOOKUP(M197,#REF!,3,TRUE)*(BR197/1000000)</f>
        <v>#REF!</v>
      </c>
    </row>
    <row r="198" spans="1:72" ht="15" customHeight="1" x14ac:dyDescent="0.25">
      <c r="A198" s="8">
        <v>38344</v>
      </c>
      <c r="B198" s="36">
        <v>2004</v>
      </c>
      <c r="C198" s="36" t="s">
        <v>1014</v>
      </c>
      <c r="D198" s="1" t="s">
        <v>1515</v>
      </c>
      <c r="E198" s="1" t="s">
        <v>877</v>
      </c>
      <c r="F198" s="1" t="s">
        <v>1036</v>
      </c>
      <c r="J198" s="1" t="s">
        <v>899</v>
      </c>
      <c r="K198" s="40">
        <v>0.09</v>
      </c>
      <c r="L198" s="36" t="s">
        <v>196</v>
      </c>
      <c r="M198" s="1" t="s">
        <v>1169</v>
      </c>
      <c r="N198" s="36" t="s">
        <v>45</v>
      </c>
      <c r="O198" s="41">
        <v>10</v>
      </c>
      <c r="P198" s="36">
        <v>1</v>
      </c>
      <c r="Q198" s="42">
        <v>1122130</v>
      </c>
      <c r="R198" s="42"/>
      <c r="S198" s="42"/>
      <c r="T198" s="42"/>
      <c r="W198" s="8">
        <v>39082</v>
      </c>
      <c r="Y198" s="8">
        <f t="shared" si="49"/>
        <v>39082</v>
      </c>
      <c r="Z198" s="46">
        <f t="shared" si="50"/>
        <v>44196</v>
      </c>
      <c r="AA198" s="4">
        <v>16</v>
      </c>
      <c r="AB198" s="46">
        <f>DATE(YEAR(Z198)+AA198,MONTH(Z198),DAY(Z198))</f>
        <v>50040</v>
      </c>
      <c r="AC198" s="1" t="s">
        <v>271</v>
      </c>
      <c r="AD198" s="1" t="s">
        <v>272</v>
      </c>
      <c r="AE198" s="1" t="s">
        <v>431</v>
      </c>
      <c r="AF198" s="1" t="s">
        <v>273</v>
      </c>
      <c r="AG198" s="1" t="s">
        <v>478</v>
      </c>
      <c r="AH198" s="36">
        <v>83607</v>
      </c>
      <c r="AI198" s="47"/>
      <c r="AJ198" s="1" t="s">
        <v>10</v>
      </c>
      <c r="AU198" s="36">
        <v>10</v>
      </c>
      <c r="AY198" s="1">
        <v>4</v>
      </c>
      <c r="AZ198" s="1">
        <v>6</v>
      </c>
      <c r="BR198" s="52">
        <v>1024463</v>
      </c>
      <c r="BS198" s="52" t="e">
        <f>VLOOKUP(M198,#REF!,2,TRUE)*(BR198/1000000)</f>
        <v>#REF!</v>
      </c>
      <c r="BT198" s="43" t="e">
        <f>VLOOKUP(M198,#REF!,3,TRUE)*(BR198/1000000)</f>
        <v>#REF!</v>
      </c>
    </row>
    <row r="199" spans="1:72" ht="15" customHeight="1" x14ac:dyDescent="0.25">
      <c r="A199" s="9" t="s">
        <v>419</v>
      </c>
      <c r="B199" s="92">
        <v>2004</v>
      </c>
      <c r="C199" s="92" t="s">
        <v>1583</v>
      </c>
      <c r="D199" s="93" t="s">
        <v>1582</v>
      </c>
      <c r="E199" s="93" t="s">
        <v>1414</v>
      </c>
      <c r="F199" s="93" t="s">
        <v>1029</v>
      </c>
      <c r="G199" s="95"/>
      <c r="H199" s="114"/>
      <c r="I199" s="114"/>
      <c r="J199" s="93" t="s">
        <v>356</v>
      </c>
      <c r="K199" s="97">
        <v>0.09</v>
      </c>
      <c r="L199" s="92" t="s">
        <v>196</v>
      </c>
      <c r="M199" s="93" t="s">
        <v>1169</v>
      </c>
      <c r="N199" s="92" t="s">
        <v>45</v>
      </c>
      <c r="O199" s="98" t="s">
        <v>419</v>
      </c>
      <c r="P199" s="92"/>
      <c r="Q199" s="99" t="s">
        <v>419</v>
      </c>
      <c r="R199" s="99"/>
      <c r="S199" s="99"/>
      <c r="T199" s="99"/>
      <c r="U199" s="100"/>
      <c r="V199" s="101"/>
      <c r="W199" s="8" t="s">
        <v>419</v>
      </c>
      <c r="Y199" s="8">
        <f t="shared" si="49"/>
        <v>0</v>
      </c>
      <c r="AA199" s="5"/>
      <c r="AC199" s="93" t="s">
        <v>7</v>
      </c>
      <c r="AD199" s="93"/>
      <c r="AE199" s="93" t="s">
        <v>78</v>
      </c>
      <c r="AF199" s="93" t="s">
        <v>20</v>
      </c>
      <c r="AG199" s="93" t="s">
        <v>472</v>
      </c>
      <c r="AH199" s="92" t="s">
        <v>79</v>
      </c>
      <c r="AI199" s="47"/>
      <c r="AJ199" s="93" t="s">
        <v>9</v>
      </c>
      <c r="AK199" s="93"/>
      <c r="AL199" s="93"/>
      <c r="AM199" s="93"/>
      <c r="AN199" s="93"/>
      <c r="AO199" s="93"/>
      <c r="AP199" s="93"/>
      <c r="AQ199" s="93"/>
      <c r="AR199" s="93"/>
      <c r="AS199" s="93"/>
      <c r="AT199" s="103"/>
      <c r="AU199" s="92">
        <v>0</v>
      </c>
      <c r="AV199" s="93"/>
      <c r="AW199" s="93"/>
      <c r="AX199" s="93"/>
      <c r="AY199" s="93"/>
      <c r="AZ199" s="93">
        <v>8</v>
      </c>
      <c r="BA199" s="93"/>
      <c r="BB199" s="93"/>
      <c r="BC199" s="93"/>
      <c r="BD199" s="93"/>
      <c r="BE199" s="93"/>
      <c r="BR199" s="52" t="s">
        <v>419</v>
      </c>
      <c r="BS199" s="52" t="e">
        <f>VLOOKUP(M199,#REF!,2,TRUE)*(BR199/1000000)</f>
        <v>#REF!</v>
      </c>
      <c r="BT199" s="43" t="e">
        <f>VLOOKUP(M199,#REF!,3,TRUE)*(BR199/1000000)</f>
        <v>#REF!</v>
      </c>
    </row>
    <row r="200" spans="1:72" ht="15" customHeight="1" x14ac:dyDescent="0.25">
      <c r="A200" s="8">
        <v>37974</v>
      </c>
      <c r="B200" s="36">
        <v>2003</v>
      </c>
      <c r="C200" s="36" t="s">
        <v>1014</v>
      </c>
      <c r="D200" s="1" t="s">
        <v>1084</v>
      </c>
      <c r="E200" s="1" t="s">
        <v>1413</v>
      </c>
      <c r="F200" s="1" t="s">
        <v>1040</v>
      </c>
      <c r="G200" s="38">
        <v>59725</v>
      </c>
      <c r="J200" s="1" t="s">
        <v>198</v>
      </c>
      <c r="K200" s="40">
        <v>0.09</v>
      </c>
      <c r="L200" s="36" t="s">
        <v>429</v>
      </c>
      <c r="M200" s="1" t="s">
        <v>1169</v>
      </c>
      <c r="N200" s="36" t="s">
        <v>45</v>
      </c>
      <c r="O200" s="41">
        <v>24</v>
      </c>
      <c r="P200" s="36">
        <v>4</v>
      </c>
      <c r="Q200" s="42">
        <v>1905390</v>
      </c>
      <c r="R200" s="42"/>
      <c r="S200" s="42"/>
      <c r="T200" s="42"/>
      <c r="W200" s="8">
        <v>38660</v>
      </c>
      <c r="Y200" s="8">
        <f t="shared" si="49"/>
        <v>38660</v>
      </c>
      <c r="Z200" s="46">
        <f t="shared" si="50"/>
        <v>43773</v>
      </c>
      <c r="AA200" s="4">
        <v>16</v>
      </c>
      <c r="AB200" s="46">
        <f t="shared" ref="AB200:AB231" si="53">DATE(YEAR(Z200)+AA200,MONTH(Z200),DAY(Z200))</f>
        <v>49617</v>
      </c>
      <c r="AC200" s="1" t="s">
        <v>348</v>
      </c>
      <c r="AD200" s="1" t="s">
        <v>272</v>
      </c>
      <c r="AE200" s="1" t="s">
        <v>363</v>
      </c>
      <c r="AF200" s="1" t="s">
        <v>273</v>
      </c>
      <c r="AG200" s="1" t="s">
        <v>478</v>
      </c>
      <c r="AH200" s="36" t="s">
        <v>364</v>
      </c>
      <c r="AI200" s="47"/>
      <c r="AJ200" s="1" t="s">
        <v>523</v>
      </c>
      <c r="AU200" s="36">
        <v>24</v>
      </c>
      <c r="AW200" s="1" t="s">
        <v>419</v>
      </c>
      <c r="AY200" s="1">
        <v>15</v>
      </c>
      <c r="AZ200" s="1">
        <v>9</v>
      </c>
      <c r="BR200" s="52">
        <v>2087831</v>
      </c>
      <c r="BS200" s="52" t="e">
        <f>VLOOKUP(M200,#REF!,2,TRUE)*(BR200/1000000)</f>
        <v>#REF!</v>
      </c>
      <c r="BT200" s="43" t="e">
        <f>VLOOKUP(M200,#REF!,3,TRUE)*(BR200/1000000)</f>
        <v>#REF!</v>
      </c>
    </row>
    <row r="201" spans="1:72" s="71" customFormat="1" ht="15" customHeight="1" x14ac:dyDescent="0.25">
      <c r="A201" s="7" t="s">
        <v>469</v>
      </c>
      <c r="B201" s="11">
        <v>2003</v>
      </c>
      <c r="C201" s="11" t="s">
        <v>1014</v>
      </c>
      <c r="D201" s="71" t="s">
        <v>1947</v>
      </c>
      <c r="E201" s="71" t="s">
        <v>1410</v>
      </c>
      <c r="F201" s="71" t="s">
        <v>192</v>
      </c>
      <c r="G201" s="12">
        <v>59101</v>
      </c>
      <c r="H201" s="72"/>
      <c r="I201" s="72"/>
      <c r="J201" s="71" t="s">
        <v>898</v>
      </c>
      <c r="K201" s="89">
        <v>0.09</v>
      </c>
      <c r="L201" s="11" t="s">
        <v>429</v>
      </c>
      <c r="M201" s="71" t="s">
        <v>307</v>
      </c>
      <c r="N201" s="11" t="s">
        <v>45</v>
      </c>
      <c r="O201" s="76" t="s">
        <v>419</v>
      </c>
      <c r="P201" s="11"/>
      <c r="Q201" s="77">
        <v>1106860</v>
      </c>
      <c r="R201" s="77"/>
      <c r="S201" s="77"/>
      <c r="T201" s="77"/>
      <c r="U201" s="79"/>
      <c r="V201" s="80"/>
      <c r="W201" s="7">
        <v>38278</v>
      </c>
      <c r="X201" s="7"/>
      <c r="Y201" s="8">
        <f t="shared" si="49"/>
        <v>38278</v>
      </c>
      <c r="Z201" s="46">
        <f t="shared" si="50"/>
        <v>43391</v>
      </c>
      <c r="AA201" s="3">
        <v>16</v>
      </c>
      <c r="AB201" s="83">
        <f t="shared" si="53"/>
        <v>49235</v>
      </c>
      <c r="AC201" s="71" t="s">
        <v>107</v>
      </c>
      <c r="AD201" s="71" t="s">
        <v>590</v>
      </c>
      <c r="AE201" s="71" t="s">
        <v>588</v>
      </c>
      <c r="AF201" s="71" t="s">
        <v>20</v>
      </c>
      <c r="AG201" s="71" t="s">
        <v>472</v>
      </c>
      <c r="AH201" s="11">
        <v>59802</v>
      </c>
      <c r="AI201" s="47"/>
      <c r="AJ201" s="71" t="s">
        <v>165</v>
      </c>
      <c r="AT201" s="90"/>
      <c r="AU201" s="11">
        <v>19</v>
      </c>
      <c r="AW201" s="71">
        <v>4</v>
      </c>
      <c r="AX201" s="71">
        <v>12</v>
      </c>
      <c r="AY201" s="71">
        <v>3</v>
      </c>
      <c r="BF201" s="11"/>
      <c r="BG201" s="11"/>
      <c r="BH201" s="11"/>
      <c r="BI201" s="11"/>
      <c r="BJ201" s="11"/>
      <c r="BK201" s="11"/>
      <c r="BL201" s="11"/>
      <c r="BM201" s="11"/>
      <c r="BN201" s="11"/>
      <c r="BR201" s="52">
        <v>3466959</v>
      </c>
      <c r="BS201" s="52" t="e">
        <f>VLOOKUP(M201,#REF!,2,TRUE)*(BR201/1000000)</f>
        <v>#REF!</v>
      </c>
      <c r="BT201" s="43" t="e">
        <f>VLOOKUP(M201,#REF!,3,TRUE)*(BR201/1000000)</f>
        <v>#REF!</v>
      </c>
    </row>
    <row r="202" spans="1:72" ht="15" customHeight="1" x14ac:dyDescent="0.25">
      <c r="A202" s="8">
        <v>37974</v>
      </c>
      <c r="B202" s="36">
        <v>2003</v>
      </c>
      <c r="C202" s="36" t="s">
        <v>1014</v>
      </c>
      <c r="D202" s="1" t="s">
        <v>1514</v>
      </c>
      <c r="E202" s="1" t="s">
        <v>1412</v>
      </c>
      <c r="F202" s="1" t="s">
        <v>1278</v>
      </c>
      <c r="J202" s="1" t="s">
        <v>361</v>
      </c>
      <c r="K202" s="40">
        <v>0.09</v>
      </c>
      <c r="L202" s="36" t="s">
        <v>193</v>
      </c>
      <c r="M202" s="1" t="s">
        <v>1169</v>
      </c>
      <c r="N202" s="36" t="s">
        <v>45</v>
      </c>
      <c r="O202" s="41">
        <v>35</v>
      </c>
      <c r="P202" s="36">
        <v>35</v>
      </c>
      <c r="Q202" s="42">
        <v>5026770</v>
      </c>
      <c r="R202" s="42"/>
      <c r="S202" s="42"/>
      <c r="T202" s="42"/>
      <c r="W202" s="8">
        <v>38289</v>
      </c>
      <c r="Y202" s="8">
        <f t="shared" si="49"/>
        <v>38289</v>
      </c>
      <c r="Z202" s="46">
        <f t="shared" si="50"/>
        <v>43402</v>
      </c>
      <c r="AA202" s="4">
        <v>31</v>
      </c>
      <c r="AB202" s="46">
        <f t="shared" si="53"/>
        <v>54725</v>
      </c>
      <c r="AC202" s="1" t="s">
        <v>44</v>
      </c>
      <c r="AD202" s="1" t="s">
        <v>251</v>
      </c>
      <c r="AE202" s="1" t="s">
        <v>266</v>
      </c>
      <c r="AF202" s="1" t="s">
        <v>264</v>
      </c>
      <c r="AG202" s="1" t="s">
        <v>472</v>
      </c>
      <c r="AH202" s="36">
        <v>59417</v>
      </c>
      <c r="AI202" s="47"/>
      <c r="AJ202" s="1" t="s">
        <v>627</v>
      </c>
      <c r="AU202" s="36">
        <v>35</v>
      </c>
      <c r="AZ202" s="1">
        <v>35</v>
      </c>
      <c r="BR202" s="52">
        <v>4340257</v>
      </c>
      <c r="BS202" s="52" t="e">
        <f>VLOOKUP(M202,#REF!,2,TRUE)*(BR202/1000000)</f>
        <v>#REF!</v>
      </c>
      <c r="BT202" s="43" t="e">
        <f>VLOOKUP(M202,#REF!,3,TRUE)*(BR202/1000000)</f>
        <v>#REF!</v>
      </c>
    </row>
    <row r="203" spans="1:72" ht="15" customHeight="1" x14ac:dyDescent="0.25">
      <c r="A203" s="8">
        <v>37974</v>
      </c>
      <c r="B203" s="36">
        <v>2003</v>
      </c>
      <c r="C203" s="36" t="s">
        <v>1014</v>
      </c>
      <c r="D203" s="1" t="s">
        <v>1944</v>
      </c>
      <c r="E203" s="1" t="s">
        <v>1945</v>
      </c>
      <c r="F203" s="1" t="s">
        <v>195</v>
      </c>
      <c r="G203" s="38">
        <v>59715</v>
      </c>
      <c r="J203" s="1" t="s">
        <v>314</v>
      </c>
      <c r="K203" s="40">
        <v>0.09</v>
      </c>
      <c r="L203" s="36" t="s">
        <v>194</v>
      </c>
      <c r="M203" s="1" t="s">
        <v>1169</v>
      </c>
      <c r="N203" s="36" t="s">
        <v>443</v>
      </c>
      <c r="O203" s="41">
        <v>61</v>
      </c>
      <c r="P203" s="36">
        <v>1</v>
      </c>
      <c r="Q203" s="42">
        <v>5000000</v>
      </c>
      <c r="R203" s="42"/>
      <c r="S203" s="42"/>
      <c r="T203" s="42"/>
      <c r="W203" s="8">
        <v>38336</v>
      </c>
      <c r="Y203" s="8">
        <f t="shared" si="49"/>
        <v>38336</v>
      </c>
      <c r="Z203" s="46">
        <f t="shared" si="50"/>
        <v>43449</v>
      </c>
      <c r="AA203" s="4">
        <v>31</v>
      </c>
      <c r="AB203" s="46">
        <f t="shared" si="53"/>
        <v>54772</v>
      </c>
      <c r="AC203" s="1" t="s">
        <v>352</v>
      </c>
      <c r="AD203" s="1" t="s">
        <v>7</v>
      </c>
      <c r="AE203" s="1" t="s">
        <v>353</v>
      </c>
      <c r="AF203" s="1" t="s">
        <v>20</v>
      </c>
      <c r="AG203" s="1" t="s">
        <v>472</v>
      </c>
      <c r="AH203" s="36">
        <v>59803</v>
      </c>
      <c r="AI203" s="47"/>
      <c r="AJ203" s="1" t="s">
        <v>291</v>
      </c>
      <c r="AU203" s="36">
        <v>60</v>
      </c>
      <c r="AX203" s="1">
        <v>46</v>
      </c>
      <c r="AY203" s="1">
        <v>14</v>
      </c>
      <c r="BR203" s="52">
        <v>5753233</v>
      </c>
      <c r="BS203" s="52" t="e">
        <f>VLOOKUP(M203,#REF!,2,TRUE)*(BR203/1000000)</f>
        <v>#REF!</v>
      </c>
      <c r="BT203" s="43" t="e">
        <f>VLOOKUP(M203,#REF!,3,TRUE)*(BR203/1000000)</f>
        <v>#REF!</v>
      </c>
    </row>
    <row r="204" spans="1:72" ht="15" customHeight="1" x14ac:dyDescent="0.25">
      <c r="A204" s="8">
        <v>37986</v>
      </c>
      <c r="B204" s="36">
        <v>2003</v>
      </c>
      <c r="C204" s="36" t="s">
        <v>1014</v>
      </c>
      <c r="D204" s="1" t="s">
        <v>1950</v>
      </c>
      <c r="E204" s="1" t="s">
        <v>1411</v>
      </c>
      <c r="F204" s="1" t="s">
        <v>887</v>
      </c>
      <c r="G204" s="38">
        <v>59601</v>
      </c>
      <c r="J204" s="37" t="s">
        <v>913</v>
      </c>
      <c r="K204" s="40">
        <v>0.09</v>
      </c>
      <c r="L204" s="36" t="s">
        <v>429</v>
      </c>
      <c r="M204" s="1" t="s">
        <v>307</v>
      </c>
      <c r="N204" s="36" t="s">
        <v>443</v>
      </c>
      <c r="O204" s="41">
        <v>66</v>
      </c>
      <c r="P204" s="36">
        <v>1</v>
      </c>
      <c r="Q204" s="42">
        <v>3913030</v>
      </c>
      <c r="R204" s="42"/>
      <c r="S204" s="42"/>
      <c r="T204" s="42"/>
      <c r="W204" s="8">
        <v>38715</v>
      </c>
      <c r="Y204" s="8">
        <f t="shared" si="49"/>
        <v>38715</v>
      </c>
      <c r="Z204" s="46">
        <f t="shared" si="50"/>
        <v>43828</v>
      </c>
      <c r="AA204" s="4">
        <v>16</v>
      </c>
      <c r="AB204" s="46">
        <f t="shared" si="53"/>
        <v>49672</v>
      </c>
      <c r="AC204" s="1" t="s">
        <v>349</v>
      </c>
      <c r="AD204" s="1" t="s">
        <v>520</v>
      </c>
      <c r="AE204" s="1" t="s">
        <v>181</v>
      </c>
      <c r="AF204" s="1" t="s">
        <v>15</v>
      </c>
      <c r="AG204" s="1" t="s">
        <v>472</v>
      </c>
      <c r="AH204" s="36" t="s">
        <v>183</v>
      </c>
      <c r="AI204" s="47"/>
      <c r="AJ204" s="1" t="s">
        <v>521</v>
      </c>
      <c r="AU204" s="36">
        <v>66</v>
      </c>
      <c r="AW204" s="1">
        <v>52</v>
      </c>
      <c r="AX204" s="1">
        <v>14</v>
      </c>
      <c r="BR204" s="52">
        <v>5132772</v>
      </c>
      <c r="BS204" s="52" t="e">
        <f>VLOOKUP(M204,#REF!,2,TRUE)*(BR204/1000000)</f>
        <v>#REF!</v>
      </c>
      <c r="BT204" s="43" t="e">
        <f>VLOOKUP(M204,#REF!,3,TRUE)*(BR204/1000000)</f>
        <v>#REF!</v>
      </c>
    </row>
    <row r="205" spans="1:72" s="93" customFormat="1" ht="15" customHeight="1" x14ac:dyDescent="0.25">
      <c r="A205" s="9">
        <v>37974</v>
      </c>
      <c r="B205" s="92">
        <v>2003</v>
      </c>
      <c r="C205" s="92" t="s">
        <v>1931</v>
      </c>
      <c r="D205" s="93" t="s">
        <v>1953</v>
      </c>
      <c r="E205" s="93" t="s">
        <v>1400</v>
      </c>
      <c r="F205" s="93" t="s">
        <v>1043</v>
      </c>
      <c r="G205" s="95">
        <v>59829</v>
      </c>
      <c r="H205" s="114"/>
      <c r="I205" s="114"/>
      <c r="J205" s="93" t="s">
        <v>356</v>
      </c>
      <c r="K205" s="97">
        <v>0.09</v>
      </c>
      <c r="L205" s="92" t="s">
        <v>196</v>
      </c>
      <c r="M205" s="93" t="s">
        <v>1169</v>
      </c>
      <c r="N205" s="92" t="s">
        <v>45</v>
      </c>
      <c r="O205" s="98">
        <v>8</v>
      </c>
      <c r="P205" s="92">
        <v>2</v>
      </c>
      <c r="Q205" s="99">
        <v>825000</v>
      </c>
      <c r="R205" s="99"/>
      <c r="S205" s="99"/>
      <c r="T205" s="99"/>
      <c r="U205" s="100"/>
      <c r="V205" s="101"/>
      <c r="W205" s="9">
        <v>38058</v>
      </c>
      <c r="X205" s="9"/>
      <c r="Y205" s="8">
        <f t="shared" si="49"/>
        <v>38058</v>
      </c>
      <c r="Z205" s="46">
        <f t="shared" si="50"/>
        <v>43171</v>
      </c>
      <c r="AA205" s="5">
        <v>15</v>
      </c>
      <c r="AB205" s="140">
        <f t="shared" si="53"/>
        <v>48650</v>
      </c>
      <c r="AC205" s="93" t="s">
        <v>535</v>
      </c>
      <c r="AD205" s="93" t="s">
        <v>197</v>
      </c>
      <c r="AE205" s="93" t="s">
        <v>324</v>
      </c>
      <c r="AF205" s="93" t="s">
        <v>20</v>
      </c>
      <c r="AG205" s="93" t="s">
        <v>472</v>
      </c>
      <c r="AH205" s="92">
        <v>59802</v>
      </c>
      <c r="AI205" s="47"/>
      <c r="AJ205" s="93" t="s">
        <v>290</v>
      </c>
      <c r="AT205" s="103"/>
      <c r="AU205" s="92">
        <v>8</v>
      </c>
      <c r="AY205" s="93">
        <v>8</v>
      </c>
      <c r="BF205" s="92"/>
      <c r="BG205" s="92"/>
      <c r="BH205" s="92"/>
      <c r="BI205" s="92"/>
      <c r="BJ205" s="92"/>
      <c r="BK205" s="92"/>
      <c r="BL205" s="92"/>
      <c r="BM205" s="92"/>
      <c r="BN205" s="92"/>
      <c r="BR205" s="52">
        <v>880432</v>
      </c>
      <c r="BS205" s="52" t="e">
        <f>VLOOKUP(M205,#REF!,2,TRUE)*(BR205/1000000)</f>
        <v>#REF!</v>
      </c>
      <c r="BT205" s="43" t="e">
        <f>VLOOKUP(M205,#REF!,3,TRUE)*(BR205/1000000)</f>
        <v>#REF!</v>
      </c>
    </row>
    <row r="206" spans="1:72" s="71" customFormat="1" ht="15" customHeight="1" x14ac:dyDescent="0.25">
      <c r="A206" s="7">
        <v>37610</v>
      </c>
      <c r="B206" s="11">
        <v>2002</v>
      </c>
      <c r="C206" s="11" t="s">
        <v>1014</v>
      </c>
      <c r="D206" s="71" t="s">
        <v>1946</v>
      </c>
      <c r="E206" s="71" t="s">
        <v>1410</v>
      </c>
      <c r="F206" s="71" t="s">
        <v>192</v>
      </c>
      <c r="G206" s="12">
        <v>59101</v>
      </c>
      <c r="H206" s="72"/>
      <c r="I206" s="72"/>
      <c r="J206" s="71" t="s">
        <v>898</v>
      </c>
      <c r="K206" s="89">
        <v>0.09</v>
      </c>
      <c r="L206" s="11" t="s">
        <v>276</v>
      </c>
      <c r="M206" s="71" t="s">
        <v>307</v>
      </c>
      <c r="N206" s="11" t="s">
        <v>45</v>
      </c>
      <c r="O206" s="76">
        <v>19</v>
      </c>
      <c r="P206" s="11">
        <v>1</v>
      </c>
      <c r="Q206" s="77">
        <v>1124660</v>
      </c>
      <c r="R206" s="77"/>
      <c r="S206" s="77"/>
      <c r="T206" s="77"/>
      <c r="U206" s="79"/>
      <c r="V206" s="80"/>
      <c r="W206" s="7">
        <v>38278</v>
      </c>
      <c r="X206" s="7"/>
      <c r="Y206" s="8">
        <f t="shared" si="49"/>
        <v>38278</v>
      </c>
      <c r="Z206" s="46">
        <f t="shared" si="50"/>
        <v>43391</v>
      </c>
      <c r="AA206" s="3">
        <v>16</v>
      </c>
      <c r="AB206" s="83">
        <f t="shared" si="53"/>
        <v>49235</v>
      </c>
      <c r="AC206" s="71" t="s">
        <v>107</v>
      </c>
      <c r="AD206" s="71" t="s">
        <v>587</v>
      </c>
      <c r="AE206" s="71" t="s">
        <v>588</v>
      </c>
      <c r="AF206" s="71" t="s">
        <v>20</v>
      </c>
      <c r="AG206" s="71" t="s">
        <v>472</v>
      </c>
      <c r="AH206" s="11">
        <v>59802</v>
      </c>
      <c r="AI206" s="47"/>
      <c r="AJ206" s="71" t="s">
        <v>589</v>
      </c>
      <c r="AT206" s="90"/>
      <c r="AU206" s="76">
        <v>20</v>
      </c>
      <c r="AX206" s="71">
        <v>14</v>
      </c>
      <c r="AY206" s="71">
        <v>5</v>
      </c>
      <c r="BE206" s="71">
        <v>1</v>
      </c>
      <c r="BF206" s="11"/>
      <c r="BG206" s="11"/>
      <c r="BH206" s="11"/>
      <c r="BI206" s="11"/>
      <c r="BJ206" s="11"/>
      <c r="BK206" s="11"/>
      <c r="BL206" s="11"/>
      <c r="BM206" s="11"/>
      <c r="BN206" s="11"/>
      <c r="BR206" s="52">
        <v>2595299</v>
      </c>
      <c r="BS206" s="52" t="e">
        <f>VLOOKUP(M206,#REF!,2,TRUE)*(BR206/1000000)</f>
        <v>#REF!</v>
      </c>
      <c r="BT206" s="43" t="e">
        <f>VLOOKUP(M206,#REF!,3,TRUE)*(BR206/1000000)</f>
        <v>#REF!</v>
      </c>
    </row>
    <row r="207" spans="1:72" ht="15" customHeight="1" x14ac:dyDescent="0.25">
      <c r="A207" s="8">
        <v>37610</v>
      </c>
      <c r="B207" s="36">
        <v>2002</v>
      </c>
      <c r="C207" s="36" t="s">
        <v>1014</v>
      </c>
      <c r="D207" s="1" t="s">
        <v>1927</v>
      </c>
      <c r="E207" s="1" t="s">
        <v>1409</v>
      </c>
      <c r="F207" s="1" t="s">
        <v>1164</v>
      </c>
      <c r="G207" s="38">
        <v>59912</v>
      </c>
      <c r="J207" s="1" t="s">
        <v>343</v>
      </c>
      <c r="K207" s="40">
        <v>0.09</v>
      </c>
      <c r="L207" s="36" t="s">
        <v>276</v>
      </c>
      <c r="M207" s="1" t="s">
        <v>1169</v>
      </c>
      <c r="N207" s="36" t="s">
        <v>443</v>
      </c>
      <c r="O207" s="41">
        <v>24</v>
      </c>
      <c r="P207" s="36">
        <v>7</v>
      </c>
      <c r="Q207" s="42">
        <v>624790</v>
      </c>
      <c r="R207" s="42"/>
      <c r="S207" s="42"/>
      <c r="T207" s="42"/>
      <c r="W207" s="8">
        <v>38338</v>
      </c>
      <c r="Y207" s="8">
        <f t="shared" si="49"/>
        <v>38338</v>
      </c>
      <c r="Z207" s="46">
        <f t="shared" si="50"/>
        <v>43451</v>
      </c>
      <c r="AA207" s="4">
        <v>35</v>
      </c>
      <c r="AB207" s="46">
        <f t="shared" si="53"/>
        <v>56235</v>
      </c>
      <c r="AC207" s="1" t="s">
        <v>230</v>
      </c>
      <c r="AD207" s="1" t="s">
        <v>145</v>
      </c>
      <c r="AE207" s="1" t="s">
        <v>118</v>
      </c>
      <c r="AF207" s="1" t="s">
        <v>129</v>
      </c>
      <c r="AG207" s="1" t="s">
        <v>472</v>
      </c>
      <c r="AH207" s="36">
        <v>59904</v>
      </c>
      <c r="AI207" s="47"/>
      <c r="AJ207" s="1" t="s">
        <v>532</v>
      </c>
      <c r="AU207" s="41">
        <v>24</v>
      </c>
      <c r="AX207" s="1">
        <v>20</v>
      </c>
      <c r="AY207" s="1">
        <v>3</v>
      </c>
      <c r="BE207" s="1">
        <v>1</v>
      </c>
      <c r="BR207" s="52">
        <v>1716146</v>
      </c>
      <c r="BS207" s="52" t="e">
        <f>VLOOKUP(M207,#REF!,2,TRUE)*(BR207/1000000)</f>
        <v>#REF!</v>
      </c>
      <c r="BT207" s="43" t="e">
        <f>VLOOKUP(M207,#REF!,3,TRUE)*(BR207/1000000)</f>
        <v>#REF!</v>
      </c>
    </row>
    <row r="208" spans="1:72" ht="15" customHeight="1" x14ac:dyDescent="0.25">
      <c r="B208" s="36">
        <v>2002</v>
      </c>
      <c r="C208" s="36" t="s">
        <v>1014</v>
      </c>
      <c r="D208" s="1" t="s">
        <v>1513</v>
      </c>
      <c r="E208" s="1" t="s">
        <v>1408</v>
      </c>
      <c r="F208" s="1" t="s">
        <v>1031</v>
      </c>
      <c r="G208" s="38">
        <v>59937</v>
      </c>
      <c r="J208" s="1" t="s">
        <v>343</v>
      </c>
      <c r="K208" s="40">
        <v>0.09</v>
      </c>
      <c r="L208" s="36" t="s">
        <v>276</v>
      </c>
      <c r="M208" s="1" t="s">
        <v>1169</v>
      </c>
      <c r="N208" s="36" t="s">
        <v>45</v>
      </c>
      <c r="O208" s="41">
        <v>10</v>
      </c>
      <c r="P208" s="36">
        <v>1</v>
      </c>
      <c r="Q208" s="42">
        <v>700150</v>
      </c>
      <c r="R208" s="42"/>
      <c r="S208" s="42"/>
      <c r="T208" s="42"/>
      <c r="W208" s="8">
        <v>38308</v>
      </c>
      <c r="Y208" s="8">
        <f t="shared" si="49"/>
        <v>38308</v>
      </c>
      <c r="Z208" s="46">
        <f t="shared" si="50"/>
        <v>43421</v>
      </c>
      <c r="AA208" s="4">
        <v>16</v>
      </c>
      <c r="AB208" s="46">
        <f t="shared" si="53"/>
        <v>49265</v>
      </c>
      <c r="AC208" s="1" t="s">
        <v>536</v>
      </c>
      <c r="AD208" s="1" t="s">
        <v>537</v>
      </c>
      <c r="AE208" s="1" t="s">
        <v>189</v>
      </c>
      <c r="AF208" s="1" t="s">
        <v>530</v>
      </c>
      <c r="AG208" s="1" t="s">
        <v>478</v>
      </c>
      <c r="AH208" s="36">
        <v>83835</v>
      </c>
      <c r="AI208" s="47"/>
      <c r="AJ208" s="1" t="s">
        <v>275</v>
      </c>
      <c r="AU208" s="41">
        <v>10</v>
      </c>
      <c r="AX208" s="1">
        <v>2</v>
      </c>
      <c r="AY208" s="1">
        <v>6</v>
      </c>
      <c r="AZ208" s="1">
        <v>2</v>
      </c>
      <c r="BR208" s="52">
        <v>904795</v>
      </c>
      <c r="BS208" s="52" t="e">
        <f>VLOOKUP(M208,#REF!,2,TRUE)*(BR208/1000000)</f>
        <v>#REF!</v>
      </c>
      <c r="BT208" s="43" t="e">
        <f>VLOOKUP(M208,#REF!,3,TRUE)*(BR208/1000000)</f>
        <v>#REF!</v>
      </c>
    </row>
    <row r="209" spans="1:72" ht="15" customHeight="1" x14ac:dyDescent="0.25">
      <c r="A209" s="8">
        <v>37610</v>
      </c>
      <c r="B209" s="36">
        <v>2002</v>
      </c>
      <c r="C209" s="36" t="s">
        <v>1014</v>
      </c>
      <c r="D209" s="1" t="s">
        <v>1512</v>
      </c>
      <c r="E209" s="1" t="s">
        <v>1407</v>
      </c>
      <c r="F209" s="1" t="s">
        <v>887</v>
      </c>
      <c r="G209" s="38">
        <v>59601</v>
      </c>
      <c r="J209" s="37" t="s">
        <v>913</v>
      </c>
      <c r="K209" s="40">
        <v>0.09</v>
      </c>
      <c r="L209" s="36" t="s">
        <v>169</v>
      </c>
      <c r="M209" s="1" t="s">
        <v>1169</v>
      </c>
      <c r="N209" s="36" t="s">
        <v>45</v>
      </c>
      <c r="O209" s="41">
        <v>32</v>
      </c>
      <c r="P209" s="36">
        <v>5</v>
      </c>
      <c r="Q209" s="42">
        <v>2507240</v>
      </c>
      <c r="R209" s="42"/>
      <c r="S209" s="42"/>
      <c r="T209" s="42"/>
      <c r="W209" s="8">
        <v>37834</v>
      </c>
      <c r="Y209" s="8">
        <f t="shared" si="49"/>
        <v>37834</v>
      </c>
      <c r="Z209" s="46">
        <f t="shared" si="50"/>
        <v>42948</v>
      </c>
      <c r="AA209" s="4">
        <v>16</v>
      </c>
      <c r="AB209" s="46">
        <f t="shared" si="53"/>
        <v>48792</v>
      </c>
      <c r="AC209" s="1" t="s">
        <v>707</v>
      </c>
      <c r="AD209" s="1" t="s">
        <v>520</v>
      </c>
      <c r="AE209" s="1" t="s">
        <v>181</v>
      </c>
      <c r="AF209" s="1" t="s">
        <v>15</v>
      </c>
      <c r="AG209" s="1" t="s">
        <v>472</v>
      </c>
      <c r="AH209" s="36" t="s">
        <v>183</v>
      </c>
      <c r="AI209" s="47"/>
      <c r="AJ209" s="1" t="s">
        <v>521</v>
      </c>
      <c r="AU209" s="41">
        <v>32</v>
      </c>
      <c r="AX209" s="1">
        <v>32</v>
      </c>
      <c r="BR209" s="52">
        <v>3250511</v>
      </c>
      <c r="BS209" s="52" t="e">
        <f>VLOOKUP(M209,#REF!,2,TRUE)*(BR209/1000000)</f>
        <v>#REF!</v>
      </c>
      <c r="BT209" s="43" t="e">
        <f>VLOOKUP(M209,#REF!,3,TRUE)*(BR209/1000000)</f>
        <v>#REF!</v>
      </c>
    </row>
    <row r="210" spans="1:72" ht="15" customHeight="1" x14ac:dyDescent="0.25">
      <c r="A210" s="8">
        <v>37454</v>
      </c>
      <c r="B210" s="36">
        <v>2002</v>
      </c>
      <c r="C210" s="36" t="s">
        <v>1014</v>
      </c>
      <c r="D210" s="1" t="s">
        <v>1077</v>
      </c>
      <c r="E210" s="1" t="s">
        <v>1406</v>
      </c>
      <c r="F210" s="1" t="s">
        <v>1039</v>
      </c>
      <c r="G210" s="38">
        <v>59044</v>
      </c>
      <c r="J210" s="1" t="s">
        <v>898</v>
      </c>
      <c r="K210" s="40">
        <v>0.09</v>
      </c>
      <c r="L210" s="36" t="s">
        <v>519</v>
      </c>
      <c r="M210" s="1" t="s">
        <v>1169</v>
      </c>
      <c r="N210" s="36" t="s">
        <v>45</v>
      </c>
      <c r="O210" s="41">
        <v>32</v>
      </c>
      <c r="P210" s="36">
        <v>3</v>
      </c>
      <c r="Q210" s="42">
        <v>1673290</v>
      </c>
      <c r="R210" s="42"/>
      <c r="S210" s="42"/>
      <c r="T210" s="42"/>
      <c r="W210" s="8">
        <v>37820</v>
      </c>
      <c r="Y210" s="8">
        <f t="shared" si="49"/>
        <v>37820</v>
      </c>
      <c r="Z210" s="46">
        <f t="shared" si="50"/>
        <v>42934</v>
      </c>
      <c r="AA210" s="4">
        <v>16</v>
      </c>
      <c r="AB210" s="46">
        <f t="shared" si="53"/>
        <v>48778</v>
      </c>
      <c r="AC210" s="1" t="s">
        <v>525</v>
      </c>
      <c r="AD210" s="1" t="s">
        <v>143</v>
      </c>
      <c r="AE210" s="1" t="s">
        <v>117</v>
      </c>
      <c r="AF210" s="1" t="s">
        <v>33</v>
      </c>
      <c r="AG210" s="1" t="s">
        <v>472</v>
      </c>
      <c r="AH210" s="36">
        <v>59068</v>
      </c>
      <c r="AI210" s="47"/>
      <c r="AJ210" s="1" t="s">
        <v>526</v>
      </c>
      <c r="AU210" s="41">
        <v>32</v>
      </c>
      <c r="AX210" s="1">
        <v>16</v>
      </c>
      <c r="AY210" s="1">
        <v>15</v>
      </c>
      <c r="BE210" s="1">
        <v>1</v>
      </c>
      <c r="BR210" s="52">
        <v>1999923</v>
      </c>
      <c r="BS210" s="52" t="e">
        <f>VLOOKUP(M210,#REF!,2,TRUE)*(BR210/1000000)</f>
        <v>#REF!</v>
      </c>
      <c r="BT210" s="43" t="e">
        <f>VLOOKUP(M210,#REF!,3,TRUE)*(BR210/1000000)</f>
        <v>#REF!</v>
      </c>
    </row>
    <row r="211" spans="1:72" ht="15" customHeight="1" x14ac:dyDescent="0.25">
      <c r="A211" s="8">
        <v>37610</v>
      </c>
      <c r="B211" s="36">
        <v>2002</v>
      </c>
      <c r="C211" s="36" t="s">
        <v>1014</v>
      </c>
      <c r="D211" s="1" t="s">
        <v>1511</v>
      </c>
      <c r="E211" s="1" t="s">
        <v>1405</v>
      </c>
      <c r="F211" s="1" t="s">
        <v>1031</v>
      </c>
      <c r="G211" s="38">
        <v>59937</v>
      </c>
      <c r="J211" s="1" t="s">
        <v>343</v>
      </c>
      <c r="K211" s="40">
        <v>0.09</v>
      </c>
      <c r="L211" s="36" t="s">
        <v>519</v>
      </c>
      <c r="M211" s="1" t="s">
        <v>1169</v>
      </c>
      <c r="N211" s="36" t="s">
        <v>443</v>
      </c>
      <c r="O211" s="41">
        <v>30</v>
      </c>
      <c r="P211" s="36">
        <v>5</v>
      </c>
      <c r="Q211" s="42">
        <v>1590960</v>
      </c>
      <c r="R211" s="42"/>
      <c r="S211" s="42"/>
      <c r="T211" s="42"/>
      <c r="W211" s="8">
        <v>38156</v>
      </c>
      <c r="Y211" s="8">
        <f t="shared" si="49"/>
        <v>38156</v>
      </c>
      <c r="Z211" s="46">
        <f t="shared" si="50"/>
        <v>43269</v>
      </c>
      <c r="AA211" s="4">
        <v>16</v>
      </c>
      <c r="AB211" s="46">
        <f t="shared" si="53"/>
        <v>49113</v>
      </c>
      <c r="AC211" s="1" t="s">
        <v>529</v>
      </c>
      <c r="AD211" s="1" t="s">
        <v>188</v>
      </c>
      <c r="AE211" s="1" t="s">
        <v>189</v>
      </c>
      <c r="AF211" s="1" t="s">
        <v>530</v>
      </c>
      <c r="AG211" s="1" t="s">
        <v>478</v>
      </c>
      <c r="AH211" s="36">
        <v>83835</v>
      </c>
      <c r="AI211" s="47"/>
      <c r="AJ211" s="1" t="s">
        <v>275</v>
      </c>
      <c r="AU211" s="41">
        <v>30</v>
      </c>
      <c r="AX211" s="1">
        <v>10</v>
      </c>
      <c r="AY211" s="1">
        <v>19</v>
      </c>
      <c r="BE211" s="1">
        <v>1</v>
      </c>
      <c r="BR211" s="52">
        <v>2143342</v>
      </c>
      <c r="BS211" s="52" t="e">
        <f>VLOOKUP(M211,#REF!,2,TRUE)*(BR211/1000000)</f>
        <v>#REF!</v>
      </c>
      <c r="BT211" s="43" t="e">
        <f>VLOOKUP(M211,#REF!,3,TRUE)*(BR211/1000000)</f>
        <v>#REF!</v>
      </c>
    </row>
    <row r="212" spans="1:72" s="93" customFormat="1" ht="15" customHeight="1" x14ac:dyDescent="0.25">
      <c r="A212" s="9">
        <v>37610</v>
      </c>
      <c r="B212" s="92">
        <v>2002</v>
      </c>
      <c r="C212" s="92" t="s">
        <v>1931</v>
      </c>
      <c r="D212" s="93" t="s">
        <v>1841</v>
      </c>
      <c r="E212" s="93" t="s">
        <v>1404</v>
      </c>
      <c r="F212" s="93" t="s">
        <v>912</v>
      </c>
      <c r="G212" s="95">
        <v>59840</v>
      </c>
      <c r="H212" s="114"/>
      <c r="I212" s="114"/>
      <c r="J212" s="93" t="s">
        <v>356</v>
      </c>
      <c r="K212" s="97">
        <v>0.09</v>
      </c>
      <c r="L212" s="92" t="s">
        <v>519</v>
      </c>
      <c r="M212" s="93" t="s">
        <v>1169</v>
      </c>
      <c r="N212" s="92" t="s">
        <v>45</v>
      </c>
      <c r="O212" s="98">
        <v>36</v>
      </c>
      <c r="P212" s="92">
        <v>8</v>
      </c>
      <c r="Q212" s="99">
        <v>3450000</v>
      </c>
      <c r="R212" s="99"/>
      <c r="S212" s="99"/>
      <c r="T212" s="99"/>
      <c r="U212" s="100"/>
      <c r="V212" s="101"/>
      <c r="W212" s="9">
        <v>37860</v>
      </c>
      <c r="X212" s="9"/>
      <c r="Y212" s="8">
        <f t="shared" si="49"/>
        <v>37860</v>
      </c>
      <c r="Z212" s="46">
        <f t="shared" si="50"/>
        <v>42974</v>
      </c>
      <c r="AA212" s="5">
        <v>15</v>
      </c>
      <c r="AB212" s="140">
        <f t="shared" si="53"/>
        <v>48453</v>
      </c>
      <c r="AC212" s="93" t="s">
        <v>534</v>
      </c>
      <c r="AD212" s="93" t="s">
        <v>197</v>
      </c>
      <c r="AE212" s="93" t="s">
        <v>573</v>
      </c>
      <c r="AF212" s="93" t="s">
        <v>20</v>
      </c>
      <c r="AG212" s="93" t="s">
        <v>472</v>
      </c>
      <c r="AH212" s="92">
        <v>59802</v>
      </c>
      <c r="AI212" s="47"/>
      <c r="AJ212" s="93" t="s">
        <v>574</v>
      </c>
      <c r="AT212" s="103"/>
      <c r="AU212" s="98">
        <v>37</v>
      </c>
      <c r="AY212" s="93">
        <v>24</v>
      </c>
      <c r="AZ212" s="93">
        <v>12</v>
      </c>
      <c r="BE212" s="93">
        <v>1</v>
      </c>
      <c r="BF212" s="92"/>
      <c r="BG212" s="92"/>
      <c r="BH212" s="92"/>
      <c r="BI212" s="92"/>
      <c r="BJ212" s="92"/>
      <c r="BK212" s="92"/>
      <c r="BL212" s="92"/>
      <c r="BM212" s="92"/>
      <c r="BN212" s="92"/>
      <c r="BR212" s="52">
        <v>3465809</v>
      </c>
      <c r="BS212" s="52" t="e">
        <f>VLOOKUP(M212,#REF!,2,TRUE)*(BR212/1000000)</f>
        <v>#REF!</v>
      </c>
      <c r="BT212" s="43" t="e">
        <f>VLOOKUP(M212,#REF!,3,TRUE)*(BR212/1000000)</f>
        <v>#REF!</v>
      </c>
    </row>
    <row r="213" spans="1:72" ht="15" customHeight="1" x14ac:dyDescent="0.25">
      <c r="A213" s="8">
        <v>37610</v>
      </c>
      <c r="B213" s="36">
        <v>2002</v>
      </c>
      <c r="C213" s="36" t="s">
        <v>1014</v>
      </c>
      <c r="D213" s="1" t="s">
        <v>1918</v>
      </c>
      <c r="E213" s="1" t="s">
        <v>1403</v>
      </c>
      <c r="F213" s="1" t="s">
        <v>1021</v>
      </c>
      <c r="G213" s="38">
        <v>59855</v>
      </c>
      <c r="J213" s="1" t="s">
        <v>318</v>
      </c>
      <c r="K213" s="40">
        <v>0.09</v>
      </c>
      <c r="L213" s="36" t="s">
        <v>519</v>
      </c>
      <c r="M213" s="1" t="s">
        <v>1169</v>
      </c>
      <c r="N213" s="36" t="s">
        <v>45</v>
      </c>
      <c r="O213" s="41">
        <v>18</v>
      </c>
      <c r="P213" s="36">
        <v>18</v>
      </c>
      <c r="Q213" s="42">
        <v>2443170</v>
      </c>
      <c r="R213" s="42"/>
      <c r="S213" s="42"/>
      <c r="T213" s="42"/>
      <c r="W213" s="8">
        <v>37812</v>
      </c>
      <c r="Y213" s="8">
        <f t="shared" si="49"/>
        <v>37812</v>
      </c>
      <c r="Z213" s="46">
        <f t="shared" si="50"/>
        <v>42926</v>
      </c>
      <c r="AA213" s="4">
        <v>15</v>
      </c>
      <c r="AB213" s="46">
        <f t="shared" si="53"/>
        <v>48405</v>
      </c>
      <c r="AC213" s="1" t="s">
        <v>524</v>
      </c>
      <c r="AD213" s="1" t="s">
        <v>629</v>
      </c>
      <c r="AE213" s="1" t="s">
        <v>728</v>
      </c>
      <c r="AF213" s="1" t="s">
        <v>321</v>
      </c>
      <c r="AG213" s="1" t="s">
        <v>478</v>
      </c>
      <c r="AH213" s="36">
        <v>83616</v>
      </c>
      <c r="AI213" s="47"/>
      <c r="AJ213" s="1" t="s">
        <v>729</v>
      </c>
      <c r="AU213" s="41">
        <v>18</v>
      </c>
      <c r="AZ213" s="1">
        <v>18</v>
      </c>
      <c r="BR213" s="52">
        <v>4194600</v>
      </c>
      <c r="BS213" s="52" t="e">
        <f>VLOOKUP(M213,#REF!,2,TRUE)*(BR213/1000000)</f>
        <v>#REF!</v>
      </c>
      <c r="BT213" s="43" t="e">
        <f>VLOOKUP(M213,#REF!,3,TRUE)*(BR213/1000000)</f>
        <v>#REF!</v>
      </c>
    </row>
    <row r="214" spans="1:72" ht="15" customHeight="1" x14ac:dyDescent="0.25">
      <c r="A214" s="8">
        <v>37610</v>
      </c>
      <c r="B214" s="36">
        <v>2002</v>
      </c>
      <c r="C214" s="36" t="s">
        <v>1014</v>
      </c>
      <c r="D214" s="1" t="s">
        <v>1510</v>
      </c>
      <c r="E214" s="1" t="s">
        <v>1402</v>
      </c>
      <c r="F214" s="1" t="s">
        <v>195</v>
      </c>
      <c r="G214" s="38">
        <v>59715</v>
      </c>
      <c r="J214" s="1" t="s">
        <v>314</v>
      </c>
      <c r="K214" s="40">
        <v>0.09</v>
      </c>
      <c r="L214" s="36" t="s">
        <v>519</v>
      </c>
      <c r="M214" s="1" t="s">
        <v>1169</v>
      </c>
      <c r="N214" s="36" t="s">
        <v>45</v>
      </c>
      <c r="O214" s="41">
        <v>44</v>
      </c>
      <c r="P214" s="36">
        <v>4</v>
      </c>
      <c r="Q214" s="42">
        <v>5000000</v>
      </c>
      <c r="R214" s="42"/>
      <c r="S214" s="42"/>
      <c r="T214" s="42"/>
      <c r="W214" s="8">
        <v>37712</v>
      </c>
      <c r="Y214" s="8">
        <f t="shared" si="49"/>
        <v>37712</v>
      </c>
      <c r="Z214" s="46">
        <f t="shared" si="50"/>
        <v>42826</v>
      </c>
      <c r="AA214" s="4">
        <v>16</v>
      </c>
      <c r="AB214" s="46">
        <f t="shared" si="53"/>
        <v>48670</v>
      </c>
      <c r="AC214" s="1" t="s">
        <v>527</v>
      </c>
      <c r="AD214" s="1" t="s">
        <v>610</v>
      </c>
      <c r="AE214" s="1" t="s">
        <v>331</v>
      </c>
      <c r="AF214" s="1" t="s">
        <v>479</v>
      </c>
      <c r="AG214" s="1" t="s">
        <v>472</v>
      </c>
      <c r="AH214" s="36">
        <v>59718</v>
      </c>
      <c r="AI214" s="47"/>
      <c r="AJ214" s="1" t="s">
        <v>528</v>
      </c>
      <c r="AU214" s="41">
        <v>44</v>
      </c>
      <c r="AY214" s="1">
        <v>36</v>
      </c>
      <c r="AZ214" s="1">
        <v>7</v>
      </c>
      <c r="BE214" s="1">
        <v>1</v>
      </c>
      <c r="BR214" s="52">
        <v>5259725</v>
      </c>
      <c r="BS214" s="52" t="e">
        <f>VLOOKUP(M214,#REF!,2,TRUE)*(BR214/1000000)</f>
        <v>#REF!</v>
      </c>
      <c r="BT214" s="43" t="e">
        <f>VLOOKUP(M214,#REF!,3,TRUE)*(BR214/1000000)</f>
        <v>#REF!</v>
      </c>
    </row>
    <row r="215" spans="1:72" ht="15" customHeight="1" x14ac:dyDescent="0.25">
      <c r="B215" s="36">
        <v>2002</v>
      </c>
      <c r="C215" s="36" t="s">
        <v>1014</v>
      </c>
      <c r="D215" s="1" t="s">
        <v>1509</v>
      </c>
      <c r="E215" s="1" t="s">
        <v>1401</v>
      </c>
      <c r="F215" s="1" t="s">
        <v>1021</v>
      </c>
      <c r="G215" s="38">
        <v>59855</v>
      </c>
      <c r="J215" s="1" t="s">
        <v>318</v>
      </c>
      <c r="K215" s="40">
        <v>0.09</v>
      </c>
      <c r="L215" s="36" t="s">
        <v>519</v>
      </c>
      <c r="M215" s="1" t="s">
        <v>307</v>
      </c>
      <c r="N215" s="36" t="s">
        <v>45</v>
      </c>
      <c r="O215" s="41">
        <v>33</v>
      </c>
      <c r="P215" s="36">
        <v>33</v>
      </c>
      <c r="Q215" s="42">
        <v>2839640</v>
      </c>
      <c r="R215" s="42"/>
      <c r="S215" s="42"/>
      <c r="T215" s="42"/>
      <c r="W215" s="8">
        <v>38077</v>
      </c>
      <c r="Y215" s="8">
        <f t="shared" si="49"/>
        <v>38077</v>
      </c>
      <c r="Z215" s="46">
        <f t="shared" si="50"/>
        <v>43190</v>
      </c>
      <c r="AA215" s="4">
        <v>30</v>
      </c>
      <c r="AB215" s="46">
        <f t="shared" si="53"/>
        <v>54148</v>
      </c>
      <c r="AC215" s="1" t="s">
        <v>522</v>
      </c>
      <c r="AD215" s="1" t="s">
        <v>538</v>
      </c>
      <c r="AE215" s="1" t="s">
        <v>228</v>
      </c>
      <c r="AF215" s="1" t="s">
        <v>126</v>
      </c>
      <c r="AG215" s="1" t="s">
        <v>472</v>
      </c>
      <c r="AH215" s="36">
        <v>59855</v>
      </c>
      <c r="AI215" s="47"/>
      <c r="AJ215" s="1" t="s">
        <v>170</v>
      </c>
      <c r="AU215" s="41">
        <v>33</v>
      </c>
      <c r="AY215" s="1">
        <v>4</v>
      </c>
      <c r="AZ215" s="1">
        <v>13</v>
      </c>
      <c r="BA215" s="1">
        <v>16</v>
      </c>
      <c r="BR215" s="52">
        <v>3115110</v>
      </c>
      <c r="BS215" s="52" t="e">
        <f>VLOOKUP(M215,#REF!,2,TRUE)*(BR215/1000000)</f>
        <v>#REF!</v>
      </c>
      <c r="BT215" s="43" t="e">
        <f>VLOOKUP(M215,#REF!,3,TRUE)*(BR215/1000000)</f>
        <v>#REF!</v>
      </c>
    </row>
    <row r="216" spans="1:72" s="93" customFormat="1" ht="15" customHeight="1" x14ac:dyDescent="0.25">
      <c r="A216" s="9">
        <v>37610</v>
      </c>
      <c r="B216" s="92">
        <v>2002</v>
      </c>
      <c r="C216" s="92" t="s">
        <v>1931</v>
      </c>
      <c r="D216" s="93" t="s">
        <v>1954</v>
      </c>
      <c r="E216" s="93" t="s">
        <v>1400</v>
      </c>
      <c r="F216" s="93" t="s">
        <v>1043</v>
      </c>
      <c r="G216" s="95">
        <v>59829</v>
      </c>
      <c r="H216" s="114"/>
      <c r="I216" s="114"/>
      <c r="J216" s="93" t="s">
        <v>356</v>
      </c>
      <c r="K216" s="97">
        <v>0.09</v>
      </c>
      <c r="L216" s="92" t="s">
        <v>276</v>
      </c>
      <c r="M216" s="93" t="s">
        <v>1169</v>
      </c>
      <c r="N216" s="92" t="s">
        <v>45</v>
      </c>
      <c r="O216" s="98">
        <v>8</v>
      </c>
      <c r="P216" s="92">
        <v>2</v>
      </c>
      <c r="Q216" s="99">
        <v>800000</v>
      </c>
      <c r="R216" s="99"/>
      <c r="S216" s="99"/>
      <c r="T216" s="99"/>
      <c r="U216" s="100"/>
      <c r="V216" s="101"/>
      <c r="W216" s="9">
        <v>37743</v>
      </c>
      <c r="X216" s="9"/>
      <c r="Y216" s="8">
        <f t="shared" si="49"/>
        <v>37743</v>
      </c>
      <c r="Z216" s="46">
        <f t="shared" si="50"/>
        <v>42857</v>
      </c>
      <c r="AA216" s="5">
        <v>15</v>
      </c>
      <c r="AB216" s="140">
        <f t="shared" si="53"/>
        <v>48336</v>
      </c>
      <c r="AC216" s="93" t="s">
        <v>535</v>
      </c>
      <c r="AD216" s="93" t="s">
        <v>197</v>
      </c>
      <c r="AE216" s="93" t="s">
        <v>608</v>
      </c>
      <c r="AF216" s="93" t="s">
        <v>20</v>
      </c>
      <c r="AG216" s="93" t="s">
        <v>472</v>
      </c>
      <c r="AH216" s="92">
        <v>59802</v>
      </c>
      <c r="AI216" s="47"/>
      <c r="AJ216" s="93" t="s">
        <v>609</v>
      </c>
      <c r="AT216" s="103"/>
      <c r="AU216" s="98">
        <v>8</v>
      </c>
      <c r="AY216" s="93">
        <v>8</v>
      </c>
      <c r="BF216" s="92"/>
      <c r="BG216" s="92"/>
      <c r="BH216" s="92"/>
      <c r="BI216" s="92"/>
      <c r="BJ216" s="92"/>
      <c r="BK216" s="92"/>
      <c r="BL216" s="92"/>
      <c r="BM216" s="92"/>
      <c r="BN216" s="92"/>
      <c r="BR216" s="52">
        <v>819227</v>
      </c>
      <c r="BS216" s="52" t="e">
        <f>VLOOKUP(M216,#REF!,2,TRUE)*(BR216/1000000)</f>
        <v>#REF!</v>
      </c>
      <c r="BT216" s="43" t="e">
        <f>VLOOKUP(M216,#REF!,3,TRUE)*(BR216/1000000)</f>
        <v>#REF!</v>
      </c>
    </row>
    <row r="217" spans="1:72" ht="15" customHeight="1" x14ac:dyDescent="0.25">
      <c r="A217" s="8">
        <v>37610</v>
      </c>
      <c r="B217" s="36">
        <v>2002</v>
      </c>
      <c r="C217" s="36" t="s">
        <v>1014</v>
      </c>
      <c r="D217" s="1" t="s">
        <v>1508</v>
      </c>
      <c r="E217" s="1" t="s">
        <v>1399</v>
      </c>
      <c r="F217" s="1" t="s">
        <v>920</v>
      </c>
      <c r="G217" s="38">
        <v>59860</v>
      </c>
      <c r="J217" s="1" t="s">
        <v>318</v>
      </c>
      <c r="K217" s="40">
        <v>0.09</v>
      </c>
      <c r="L217" s="36" t="s">
        <v>276</v>
      </c>
      <c r="M217" s="1" t="s">
        <v>1169</v>
      </c>
      <c r="N217" s="36" t="s">
        <v>443</v>
      </c>
      <c r="O217" s="41">
        <v>20</v>
      </c>
      <c r="P217" s="36">
        <v>6</v>
      </c>
      <c r="Q217" s="42">
        <v>626480</v>
      </c>
      <c r="R217" s="42"/>
      <c r="S217" s="42"/>
      <c r="T217" s="42"/>
      <c r="W217" s="8">
        <v>37847</v>
      </c>
      <c r="Y217" s="8">
        <f t="shared" si="49"/>
        <v>37847</v>
      </c>
      <c r="Z217" s="46">
        <f t="shared" si="50"/>
        <v>42961</v>
      </c>
      <c r="AA217" s="4">
        <v>35</v>
      </c>
      <c r="AB217" s="46">
        <f t="shared" si="53"/>
        <v>55745</v>
      </c>
      <c r="AC217" s="1" t="s">
        <v>533</v>
      </c>
      <c r="AD217" s="1" t="s">
        <v>145</v>
      </c>
      <c r="AE217" s="1" t="s">
        <v>531</v>
      </c>
      <c r="AF217" s="1" t="s">
        <v>129</v>
      </c>
      <c r="AG217" s="1" t="s">
        <v>472</v>
      </c>
      <c r="AH217" s="36">
        <v>59904</v>
      </c>
      <c r="AI217" s="47"/>
      <c r="AJ217" s="1" t="s">
        <v>532</v>
      </c>
      <c r="AU217" s="41">
        <v>20</v>
      </c>
      <c r="AX217" s="1">
        <v>16</v>
      </c>
      <c r="AY217" s="1">
        <v>3</v>
      </c>
      <c r="BE217" s="1">
        <v>1</v>
      </c>
      <c r="BR217" s="52">
        <v>1515873</v>
      </c>
      <c r="BS217" s="52" t="e">
        <f>VLOOKUP(M217,#REF!,2,TRUE)*(BR217/1000000)</f>
        <v>#REF!</v>
      </c>
      <c r="BT217" s="43" t="e">
        <f>VLOOKUP(M217,#REF!,3,TRUE)*(BR217/1000000)</f>
        <v>#REF!</v>
      </c>
    </row>
    <row r="218" spans="1:72" s="93" customFormat="1" ht="15" customHeight="1" x14ac:dyDescent="0.25">
      <c r="A218" s="9">
        <v>37610</v>
      </c>
      <c r="B218" s="92">
        <v>2002</v>
      </c>
      <c r="C218" s="92" t="s">
        <v>1943</v>
      </c>
      <c r="D218" s="93" t="s">
        <v>1940</v>
      </c>
      <c r="E218" s="93" t="s">
        <v>1398</v>
      </c>
      <c r="F218" s="93" t="s">
        <v>1277</v>
      </c>
      <c r="G218" s="95">
        <v>59828</v>
      </c>
      <c r="H218" s="114"/>
      <c r="I218" s="114"/>
      <c r="J218" s="93" t="s">
        <v>356</v>
      </c>
      <c r="K218" s="97">
        <v>0.09</v>
      </c>
      <c r="L218" s="92" t="s">
        <v>276</v>
      </c>
      <c r="M218" s="93" t="s">
        <v>1169</v>
      </c>
      <c r="N218" s="92" t="s">
        <v>45</v>
      </c>
      <c r="O218" s="98">
        <v>12</v>
      </c>
      <c r="P218" s="92">
        <v>2</v>
      </c>
      <c r="Q218" s="99">
        <v>1000000</v>
      </c>
      <c r="R218" s="99"/>
      <c r="S218" s="99"/>
      <c r="T218" s="99"/>
      <c r="U218" s="100"/>
      <c r="V218" s="101"/>
      <c r="W218" s="9">
        <v>37530</v>
      </c>
      <c r="X218" s="9"/>
      <c r="Y218" s="8">
        <f t="shared" si="49"/>
        <v>37530</v>
      </c>
      <c r="Z218" s="46">
        <f t="shared" si="50"/>
        <v>42644</v>
      </c>
      <c r="AA218" s="5">
        <v>15</v>
      </c>
      <c r="AB218" s="140">
        <f t="shared" si="53"/>
        <v>48122</v>
      </c>
      <c r="AC218" s="93" t="s">
        <v>632</v>
      </c>
      <c r="AD218" s="93" t="s">
        <v>629</v>
      </c>
      <c r="AE218" s="93" t="s">
        <v>630</v>
      </c>
      <c r="AF218" s="93" t="s">
        <v>633</v>
      </c>
      <c r="AG218" s="93" t="s">
        <v>478</v>
      </c>
      <c r="AH218" s="92">
        <v>83616</v>
      </c>
      <c r="AI218" s="47"/>
      <c r="AJ218" s="93" t="s">
        <v>634</v>
      </c>
      <c r="AT218" s="103"/>
      <c r="AU218" s="98">
        <v>12</v>
      </c>
      <c r="AY218" s="93">
        <v>8</v>
      </c>
      <c r="AZ218" s="93">
        <v>4</v>
      </c>
      <c r="BF218" s="92"/>
      <c r="BG218" s="92"/>
      <c r="BH218" s="92"/>
      <c r="BI218" s="92"/>
      <c r="BJ218" s="92"/>
      <c r="BK218" s="92"/>
      <c r="BL218" s="92"/>
      <c r="BM218" s="92"/>
      <c r="BN218" s="92"/>
      <c r="BR218" s="52">
        <v>989844</v>
      </c>
      <c r="BS218" s="52" t="e">
        <f>VLOOKUP(M218,#REF!,2,TRUE)*(BR218/1000000)</f>
        <v>#REF!</v>
      </c>
      <c r="BT218" s="43" t="e">
        <f>VLOOKUP(M218,#REF!,3,TRUE)*(BR218/1000000)</f>
        <v>#REF!</v>
      </c>
    </row>
    <row r="219" spans="1:72" ht="15" customHeight="1" x14ac:dyDescent="0.25">
      <c r="A219" s="8">
        <v>37244</v>
      </c>
      <c r="B219" s="36">
        <v>2001</v>
      </c>
      <c r="C219" s="36" t="s">
        <v>1014</v>
      </c>
      <c r="D219" s="1" t="s">
        <v>1507</v>
      </c>
      <c r="E219" s="1" t="s">
        <v>1397</v>
      </c>
      <c r="F219" s="1" t="s">
        <v>1021</v>
      </c>
      <c r="G219" s="38">
        <v>59855</v>
      </c>
      <c r="J219" s="1" t="s">
        <v>318</v>
      </c>
      <c r="K219" s="40">
        <v>0.09</v>
      </c>
      <c r="L219" s="36" t="s">
        <v>276</v>
      </c>
      <c r="M219" s="1" t="s">
        <v>1169</v>
      </c>
      <c r="N219" s="36" t="s">
        <v>45</v>
      </c>
      <c r="O219" s="41">
        <v>18</v>
      </c>
      <c r="P219" s="36">
        <v>18</v>
      </c>
      <c r="Q219" s="42">
        <v>2100000</v>
      </c>
      <c r="R219" s="42"/>
      <c r="S219" s="42"/>
      <c r="T219" s="42"/>
      <c r="W219" s="8">
        <v>37235</v>
      </c>
      <c r="Y219" s="8">
        <f t="shared" si="49"/>
        <v>37235</v>
      </c>
      <c r="Z219" s="46">
        <f t="shared" si="50"/>
        <v>42348</v>
      </c>
      <c r="AA219" s="4">
        <v>15</v>
      </c>
      <c r="AB219" s="46">
        <f t="shared" si="53"/>
        <v>47827</v>
      </c>
      <c r="AC219" s="1" t="s">
        <v>727</v>
      </c>
      <c r="AD219" s="1" t="s">
        <v>629</v>
      </c>
      <c r="AE219" s="1" t="s">
        <v>728</v>
      </c>
      <c r="AF219" s="1" t="s">
        <v>321</v>
      </c>
      <c r="AG219" s="1" t="s">
        <v>478</v>
      </c>
      <c r="AH219" s="36">
        <v>83616</v>
      </c>
      <c r="AI219" s="47"/>
      <c r="AJ219" s="1" t="s">
        <v>729</v>
      </c>
      <c r="AU219" s="36">
        <v>18</v>
      </c>
      <c r="AY219" s="1">
        <v>18</v>
      </c>
      <c r="BR219" s="52">
        <v>2159832</v>
      </c>
      <c r="BS219" s="52" t="e">
        <f>VLOOKUP(M219,#REF!,2,TRUE)*(BR219/1000000)</f>
        <v>#REF!</v>
      </c>
      <c r="BT219" s="43" t="e">
        <f>VLOOKUP(M219,#REF!,3,TRUE)*(BR219/1000000)</f>
        <v>#REF!</v>
      </c>
    </row>
    <row r="220" spans="1:72" ht="15" customHeight="1" x14ac:dyDescent="0.25">
      <c r="A220" s="8">
        <v>37244</v>
      </c>
      <c r="B220" s="36">
        <v>2001</v>
      </c>
      <c r="C220" s="36" t="s">
        <v>1014</v>
      </c>
      <c r="D220" s="1" t="s">
        <v>1506</v>
      </c>
      <c r="E220" s="1" t="s">
        <v>1396</v>
      </c>
      <c r="F220" s="1" t="s">
        <v>338</v>
      </c>
      <c r="G220" s="38">
        <v>59801</v>
      </c>
      <c r="H220" s="39">
        <v>46.877929999999999</v>
      </c>
      <c r="I220" s="39">
        <v>-111.99457</v>
      </c>
      <c r="J220" s="1" t="s">
        <v>338</v>
      </c>
      <c r="K220" s="40">
        <v>0.09</v>
      </c>
      <c r="L220" s="36" t="s">
        <v>429</v>
      </c>
      <c r="M220" s="1" t="s">
        <v>1169</v>
      </c>
      <c r="N220" s="36" t="s">
        <v>45</v>
      </c>
      <c r="O220" s="41">
        <v>18</v>
      </c>
      <c r="P220" s="36">
        <v>3</v>
      </c>
      <c r="Q220" s="42">
        <v>2184900</v>
      </c>
      <c r="R220" s="42"/>
      <c r="S220" s="42"/>
      <c r="T220" s="42"/>
      <c r="W220" s="8">
        <v>37670</v>
      </c>
      <c r="Y220" s="8">
        <f t="shared" si="49"/>
        <v>37670</v>
      </c>
      <c r="Z220" s="46">
        <f t="shared" si="50"/>
        <v>42784</v>
      </c>
      <c r="AA220" s="4">
        <v>35</v>
      </c>
      <c r="AB220" s="46">
        <f t="shared" si="53"/>
        <v>55567</v>
      </c>
      <c r="AC220" s="1" t="s">
        <v>675</v>
      </c>
      <c r="AD220" s="1" t="s">
        <v>676</v>
      </c>
      <c r="AE220" s="1" t="s">
        <v>278</v>
      </c>
      <c r="AF220" s="1" t="s">
        <v>20</v>
      </c>
      <c r="AG220" s="1" t="s">
        <v>472</v>
      </c>
      <c r="AH220" s="36">
        <v>59802</v>
      </c>
      <c r="AI220" s="47"/>
      <c r="AJ220" s="1" t="s">
        <v>677</v>
      </c>
      <c r="AU220" s="36">
        <v>18</v>
      </c>
      <c r="AW220" s="1">
        <v>1</v>
      </c>
      <c r="AY220" s="1">
        <v>14</v>
      </c>
      <c r="AZ220" s="1">
        <v>3</v>
      </c>
      <c r="BR220" s="52">
        <v>2217475</v>
      </c>
      <c r="BS220" s="52" t="e">
        <f>VLOOKUP(M220,#REF!,2,TRUE)*(BR220/1000000)</f>
        <v>#REF!</v>
      </c>
      <c r="BT220" s="43" t="e">
        <f>VLOOKUP(M220,#REF!,3,TRUE)*(BR220/1000000)</f>
        <v>#REF!</v>
      </c>
    </row>
    <row r="221" spans="1:72" ht="15" customHeight="1" x14ac:dyDescent="0.25">
      <c r="A221" s="8">
        <v>37244</v>
      </c>
      <c r="B221" s="36">
        <v>2001</v>
      </c>
      <c r="C221" s="36" t="s">
        <v>1014</v>
      </c>
      <c r="D221" s="1" t="s">
        <v>1913</v>
      </c>
      <c r="E221" s="1" t="s">
        <v>1188</v>
      </c>
      <c r="F221" s="1" t="s">
        <v>60</v>
      </c>
      <c r="G221" s="38">
        <v>59701</v>
      </c>
      <c r="J221" s="1" t="s">
        <v>437</v>
      </c>
      <c r="K221" s="40">
        <v>0.09</v>
      </c>
      <c r="L221" s="36" t="s">
        <v>519</v>
      </c>
      <c r="M221" s="1" t="s">
        <v>1169</v>
      </c>
      <c r="N221" s="36" t="s">
        <v>45</v>
      </c>
      <c r="O221" s="41">
        <v>32</v>
      </c>
      <c r="P221" s="36">
        <v>4</v>
      </c>
      <c r="Q221" s="42">
        <v>1939290</v>
      </c>
      <c r="R221" s="42"/>
      <c r="S221" s="42"/>
      <c r="T221" s="42"/>
      <c r="W221" s="8">
        <v>37438</v>
      </c>
      <c r="Y221" s="8">
        <f t="shared" si="49"/>
        <v>37438</v>
      </c>
      <c r="Z221" s="46">
        <f t="shared" si="50"/>
        <v>42552</v>
      </c>
      <c r="AA221" s="4">
        <v>25</v>
      </c>
      <c r="AB221" s="46">
        <f t="shared" si="53"/>
        <v>51683</v>
      </c>
      <c r="AC221" s="1" t="s">
        <v>597</v>
      </c>
      <c r="AD221" s="1" t="s">
        <v>596</v>
      </c>
      <c r="AE221" s="1" t="s">
        <v>598</v>
      </c>
      <c r="AF221" s="1" t="s">
        <v>149</v>
      </c>
      <c r="AG221" s="1" t="s">
        <v>475</v>
      </c>
      <c r="AH221" s="36">
        <v>92660</v>
      </c>
      <c r="AI221" s="47"/>
      <c r="AJ221" s="1" t="s">
        <v>599</v>
      </c>
      <c r="AU221" s="36">
        <v>32</v>
      </c>
      <c r="AY221" s="1">
        <v>20</v>
      </c>
      <c r="AZ221" s="1">
        <v>12</v>
      </c>
      <c r="BR221" s="52">
        <v>2549318</v>
      </c>
      <c r="BS221" s="52" t="e">
        <f>VLOOKUP(M221,#REF!,2,TRUE)*(BR221/1000000)</f>
        <v>#REF!</v>
      </c>
      <c r="BT221" s="43" t="e">
        <f>VLOOKUP(M221,#REF!,3,TRUE)*(BR221/1000000)</f>
        <v>#REF!</v>
      </c>
    </row>
    <row r="222" spans="1:72" ht="15" customHeight="1" x14ac:dyDescent="0.25">
      <c r="A222" s="8">
        <v>37244</v>
      </c>
      <c r="B222" s="36">
        <v>2001</v>
      </c>
      <c r="C222" s="36" t="s">
        <v>1014</v>
      </c>
      <c r="D222" s="1" t="s">
        <v>1915</v>
      </c>
      <c r="E222" s="1" t="s">
        <v>1395</v>
      </c>
      <c r="F222" s="1" t="s">
        <v>1031</v>
      </c>
      <c r="G222" s="38">
        <v>59937</v>
      </c>
      <c r="J222" s="1" t="s">
        <v>343</v>
      </c>
      <c r="K222" s="40">
        <v>0.09</v>
      </c>
      <c r="L222" s="36" t="s">
        <v>519</v>
      </c>
      <c r="M222" s="1" t="s">
        <v>1169</v>
      </c>
      <c r="N222" s="36" t="s">
        <v>45</v>
      </c>
      <c r="O222" s="41">
        <v>15</v>
      </c>
      <c r="P222" s="36">
        <v>2</v>
      </c>
      <c r="Q222" s="42">
        <v>820310</v>
      </c>
      <c r="R222" s="42"/>
      <c r="S222" s="42"/>
      <c r="T222" s="42"/>
      <c r="W222" s="8">
        <v>37295</v>
      </c>
      <c r="Y222" s="8">
        <f t="shared" si="49"/>
        <v>37295</v>
      </c>
      <c r="Z222" s="46">
        <f t="shared" si="50"/>
        <v>42408</v>
      </c>
      <c r="AA222" s="4">
        <v>16</v>
      </c>
      <c r="AB222" s="46">
        <f t="shared" si="53"/>
        <v>48252</v>
      </c>
      <c r="AC222" s="1" t="s">
        <v>274</v>
      </c>
      <c r="AD222" s="1" t="s">
        <v>188</v>
      </c>
      <c r="AE222" s="1" t="s">
        <v>189</v>
      </c>
      <c r="AF222" s="1" t="s">
        <v>190</v>
      </c>
      <c r="AG222" s="1" t="s">
        <v>478</v>
      </c>
      <c r="AH222" s="36">
        <v>83835</v>
      </c>
      <c r="AI222" s="47"/>
      <c r="AJ222" s="1" t="s">
        <v>275</v>
      </c>
      <c r="AU222" s="36">
        <v>14</v>
      </c>
      <c r="AX222" s="1">
        <v>3</v>
      </c>
      <c r="AY222" s="1">
        <v>9</v>
      </c>
      <c r="AZ222" s="1">
        <v>2</v>
      </c>
      <c r="BR222" s="52">
        <v>1114497</v>
      </c>
      <c r="BS222" s="52" t="e">
        <f>VLOOKUP(M222,#REF!,2,TRUE)*(BR222/1000000)</f>
        <v>#REF!</v>
      </c>
      <c r="BT222" s="43" t="e">
        <f>VLOOKUP(M222,#REF!,3,TRUE)*(BR222/1000000)</f>
        <v>#REF!</v>
      </c>
    </row>
    <row r="223" spans="1:72" s="93" customFormat="1" ht="15" customHeight="1" x14ac:dyDescent="0.25">
      <c r="A223" s="9" t="s">
        <v>470</v>
      </c>
      <c r="B223" s="92">
        <v>2001</v>
      </c>
      <c r="C223" s="92" t="s">
        <v>1942</v>
      </c>
      <c r="D223" s="93" t="s">
        <v>1941</v>
      </c>
      <c r="E223" s="93" t="s">
        <v>1394</v>
      </c>
      <c r="F223" s="93" t="s">
        <v>1277</v>
      </c>
      <c r="G223" s="95">
        <v>59828</v>
      </c>
      <c r="H223" s="114"/>
      <c r="I223" s="114"/>
      <c r="J223" s="93" t="s">
        <v>356</v>
      </c>
      <c r="K223" s="97">
        <v>0.09</v>
      </c>
      <c r="L223" s="92" t="s">
        <v>429</v>
      </c>
      <c r="M223" s="93" t="s">
        <v>1169</v>
      </c>
      <c r="N223" s="92" t="s">
        <v>45</v>
      </c>
      <c r="O223" s="98">
        <v>24</v>
      </c>
      <c r="P223" s="92">
        <v>4</v>
      </c>
      <c r="Q223" s="99">
        <v>2169690</v>
      </c>
      <c r="R223" s="99"/>
      <c r="S223" s="99"/>
      <c r="T223" s="99"/>
      <c r="U223" s="100"/>
      <c r="V223" s="101"/>
      <c r="W223" s="9">
        <v>37469</v>
      </c>
      <c r="X223" s="9"/>
      <c r="Y223" s="8">
        <f t="shared" si="49"/>
        <v>37469</v>
      </c>
      <c r="Z223" s="46">
        <f t="shared" si="50"/>
        <v>42583</v>
      </c>
      <c r="AA223" s="5">
        <v>15</v>
      </c>
      <c r="AB223" s="140">
        <f t="shared" si="53"/>
        <v>48061</v>
      </c>
      <c r="AC223" s="93" t="s">
        <v>628</v>
      </c>
      <c r="AD223" s="93" t="s">
        <v>629</v>
      </c>
      <c r="AE223" s="93" t="s">
        <v>630</v>
      </c>
      <c r="AF223" s="93" t="s">
        <v>321</v>
      </c>
      <c r="AG223" s="93" t="s">
        <v>478</v>
      </c>
      <c r="AH223" s="92">
        <v>83616</v>
      </c>
      <c r="AI223" s="47"/>
      <c r="AJ223" s="93" t="s">
        <v>631</v>
      </c>
      <c r="AT223" s="103"/>
      <c r="AU223" s="92">
        <v>24</v>
      </c>
      <c r="AY223" s="93">
        <v>11</v>
      </c>
      <c r="AZ223" s="93">
        <v>12</v>
      </c>
      <c r="BE223" s="93">
        <v>1</v>
      </c>
      <c r="BF223" s="92"/>
      <c r="BG223" s="92"/>
      <c r="BH223" s="92"/>
      <c r="BI223" s="92"/>
      <c r="BJ223" s="92"/>
      <c r="BK223" s="92"/>
      <c r="BL223" s="92"/>
      <c r="BM223" s="92"/>
      <c r="BN223" s="92"/>
      <c r="BR223" s="52">
        <v>2170405</v>
      </c>
      <c r="BS223" s="52" t="e">
        <f>VLOOKUP(M223,#REF!,2,TRUE)*(BR223/1000000)</f>
        <v>#REF!</v>
      </c>
      <c r="BT223" s="43" t="e">
        <f>VLOOKUP(M223,#REF!,3,TRUE)*(BR223/1000000)</f>
        <v>#REF!</v>
      </c>
    </row>
    <row r="224" spans="1:72" s="93" customFormat="1" ht="15" customHeight="1" x14ac:dyDescent="0.25">
      <c r="A224" s="9">
        <v>37244</v>
      </c>
      <c r="B224" s="92">
        <v>2001</v>
      </c>
      <c r="C224" s="92" t="s">
        <v>1931</v>
      </c>
      <c r="D224" s="93" t="s">
        <v>1890</v>
      </c>
      <c r="E224" s="93" t="s">
        <v>1360</v>
      </c>
      <c r="F224" s="93" t="s">
        <v>195</v>
      </c>
      <c r="G224" s="95">
        <v>59715</v>
      </c>
      <c r="H224" s="114"/>
      <c r="I224" s="114"/>
      <c r="J224" s="93" t="s">
        <v>314</v>
      </c>
      <c r="K224" s="97">
        <v>0.09</v>
      </c>
      <c r="L224" s="92" t="s">
        <v>519</v>
      </c>
      <c r="M224" s="93" t="s">
        <v>1169</v>
      </c>
      <c r="N224" s="92" t="s">
        <v>45</v>
      </c>
      <c r="O224" s="98">
        <v>36</v>
      </c>
      <c r="P224" s="92">
        <v>6</v>
      </c>
      <c r="Q224" s="99">
        <v>3084380</v>
      </c>
      <c r="R224" s="99"/>
      <c r="S224" s="99"/>
      <c r="T224" s="99"/>
      <c r="U224" s="100"/>
      <c r="V224" s="101"/>
      <c r="W224" s="9">
        <v>37974</v>
      </c>
      <c r="X224" s="9"/>
      <c r="Y224" s="8">
        <f t="shared" si="49"/>
        <v>37974</v>
      </c>
      <c r="Z224" s="46">
        <f t="shared" si="50"/>
        <v>43088</v>
      </c>
      <c r="AA224" s="5">
        <v>15</v>
      </c>
      <c r="AB224" s="140">
        <f t="shared" si="53"/>
        <v>48567</v>
      </c>
      <c r="AC224" s="93" t="s">
        <v>618</v>
      </c>
      <c r="AD224" s="93" t="s">
        <v>596</v>
      </c>
      <c r="AE224" s="93" t="s">
        <v>598</v>
      </c>
      <c r="AF224" s="93" t="s">
        <v>149</v>
      </c>
      <c r="AG224" s="93" t="s">
        <v>475</v>
      </c>
      <c r="AH224" s="92">
        <v>92660</v>
      </c>
      <c r="AI224" s="47"/>
      <c r="AJ224" s="93" t="s">
        <v>621</v>
      </c>
      <c r="AT224" s="103"/>
      <c r="AU224" s="92">
        <v>36</v>
      </c>
      <c r="AY224" s="93">
        <v>28</v>
      </c>
      <c r="AZ224" s="93">
        <v>8</v>
      </c>
      <c r="BF224" s="92"/>
      <c r="BG224" s="92"/>
      <c r="BH224" s="92"/>
      <c r="BI224" s="92"/>
      <c r="BJ224" s="92"/>
      <c r="BK224" s="92"/>
      <c r="BL224" s="92"/>
      <c r="BM224" s="92"/>
      <c r="BN224" s="92"/>
      <c r="BR224" s="52">
        <v>3466360</v>
      </c>
      <c r="BS224" s="52" t="e">
        <f>VLOOKUP(M224,#REF!,2,TRUE)*(BR224/1000000)</f>
        <v>#REF!</v>
      </c>
      <c r="BT224" s="43" t="e">
        <f>VLOOKUP(M224,#REF!,3,TRUE)*(BR224/1000000)</f>
        <v>#REF!</v>
      </c>
    </row>
    <row r="225" spans="1:72" s="93" customFormat="1" ht="15" customHeight="1" x14ac:dyDescent="0.25">
      <c r="A225" s="9">
        <v>37244</v>
      </c>
      <c r="B225" s="92">
        <v>2001</v>
      </c>
      <c r="C225" s="92" t="s">
        <v>1931</v>
      </c>
      <c r="D225" s="93" t="s">
        <v>1840</v>
      </c>
      <c r="E225" s="93" t="s">
        <v>1393</v>
      </c>
      <c r="F225" s="93" t="s">
        <v>1276</v>
      </c>
      <c r="G225" s="95">
        <v>59047</v>
      </c>
      <c r="H225" s="114"/>
      <c r="I225" s="114"/>
      <c r="J225" s="93" t="s">
        <v>412</v>
      </c>
      <c r="K225" s="97">
        <v>0.09</v>
      </c>
      <c r="L225" s="92" t="s">
        <v>429</v>
      </c>
      <c r="M225" s="93" t="s">
        <v>307</v>
      </c>
      <c r="N225" s="92" t="s">
        <v>45</v>
      </c>
      <c r="O225" s="98">
        <v>40</v>
      </c>
      <c r="P225" s="92">
        <v>1</v>
      </c>
      <c r="Q225" s="99">
        <v>1855440</v>
      </c>
      <c r="R225" s="99"/>
      <c r="S225" s="99"/>
      <c r="T225" s="99"/>
      <c r="U225" s="100"/>
      <c r="V225" s="101"/>
      <c r="W225" s="9">
        <v>37607</v>
      </c>
      <c r="X225" s="9"/>
      <c r="Y225" s="8">
        <f t="shared" si="49"/>
        <v>37607</v>
      </c>
      <c r="Z225" s="46">
        <f t="shared" si="50"/>
        <v>42721</v>
      </c>
      <c r="AA225" s="5">
        <v>15</v>
      </c>
      <c r="AB225" s="140">
        <f t="shared" si="53"/>
        <v>48199</v>
      </c>
      <c r="AC225" s="93" t="s">
        <v>445</v>
      </c>
      <c r="AD225" s="93" t="s">
        <v>269</v>
      </c>
      <c r="AE225" s="93" t="s">
        <v>94</v>
      </c>
      <c r="AF225" s="93" t="s">
        <v>479</v>
      </c>
      <c r="AG225" s="93" t="s">
        <v>472</v>
      </c>
      <c r="AH225" s="92" t="s">
        <v>95</v>
      </c>
      <c r="AI225" s="47"/>
      <c r="AJ225" s="93" t="s">
        <v>270</v>
      </c>
      <c r="AT225" s="103"/>
      <c r="AU225" s="92">
        <v>40</v>
      </c>
      <c r="AW225" s="93">
        <v>5</v>
      </c>
      <c r="AX225" s="93">
        <v>34</v>
      </c>
      <c r="BE225" s="93">
        <v>1</v>
      </c>
      <c r="BF225" s="92"/>
      <c r="BG225" s="92"/>
      <c r="BH225" s="92"/>
      <c r="BI225" s="92"/>
      <c r="BJ225" s="92"/>
      <c r="BK225" s="92"/>
      <c r="BL225" s="92"/>
      <c r="BM225" s="92"/>
      <c r="BN225" s="92"/>
      <c r="BR225" s="52">
        <v>2063990</v>
      </c>
      <c r="BS225" s="52" t="e">
        <f>VLOOKUP(M225,#REF!,2,TRUE)*(BR225/1000000)</f>
        <v>#REF!</v>
      </c>
      <c r="BT225" s="43" t="e">
        <f>VLOOKUP(M225,#REF!,3,TRUE)*(BR225/1000000)</f>
        <v>#REF!</v>
      </c>
    </row>
    <row r="226" spans="1:72" ht="15" customHeight="1" x14ac:dyDescent="0.25">
      <c r="A226" s="8">
        <v>37244</v>
      </c>
      <c r="B226" s="36">
        <v>2001</v>
      </c>
      <c r="C226" s="36" t="s">
        <v>1014</v>
      </c>
      <c r="D226" s="1" t="s">
        <v>1505</v>
      </c>
      <c r="E226" s="1" t="s">
        <v>1938</v>
      </c>
      <c r="F226" s="1" t="s">
        <v>46</v>
      </c>
      <c r="G226" s="38">
        <v>59901</v>
      </c>
      <c r="J226" s="1" t="s">
        <v>343</v>
      </c>
      <c r="K226" s="40">
        <v>0.09</v>
      </c>
      <c r="L226" s="36" t="s">
        <v>429</v>
      </c>
      <c r="M226" s="1" t="s">
        <v>1169</v>
      </c>
      <c r="N226" s="36" t="s">
        <v>45</v>
      </c>
      <c r="O226" s="41">
        <v>40</v>
      </c>
      <c r="P226" s="36">
        <v>1</v>
      </c>
      <c r="Q226" s="42">
        <v>0</v>
      </c>
      <c r="R226" s="42"/>
      <c r="S226" s="42"/>
      <c r="T226" s="42"/>
      <c r="W226" s="8">
        <v>37789</v>
      </c>
      <c r="Y226" s="8">
        <f t="shared" si="49"/>
        <v>37789</v>
      </c>
      <c r="Z226" s="46">
        <f t="shared" si="50"/>
        <v>42903</v>
      </c>
      <c r="AA226" s="4">
        <v>16</v>
      </c>
      <c r="AB226" s="46">
        <f t="shared" si="53"/>
        <v>48747</v>
      </c>
      <c r="AC226" s="1" t="s">
        <v>93</v>
      </c>
      <c r="AD226" s="1" t="s">
        <v>539</v>
      </c>
      <c r="AE226" s="1" t="s">
        <v>540</v>
      </c>
      <c r="AF226" s="1" t="s">
        <v>542</v>
      </c>
      <c r="AG226" s="1" t="s">
        <v>475</v>
      </c>
      <c r="AH226" s="36">
        <v>92110</v>
      </c>
      <c r="AI226" s="47"/>
      <c r="AJ226" s="1" t="s">
        <v>622</v>
      </c>
      <c r="AU226" s="36">
        <v>40</v>
      </c>
      <c r="AX226" s="1">
        <v>30</v>
      </c>
      <c r="AY226" s="1">
        <v>10</v>
      </c>
      <c r="BR226" s="52">
        <v>3732626</v>
      </c>
      <c r="BS226" s="52" t="e">
        <f>VLOOKUP(M226,#REF!,2,TRUE)*(BR226/1000000)</f>
        <v>#REF!</v>
      </c>
      <c r="BT226" s="43" t="e">
        <f>VLOOKUP(M226,#REF!,3,TRUE)*(BR226/1000000)</f>
        <v>#REF!</v>
      </c>
    </row>
    <row r="227" spans="1:72" ht="15" customHeight="1" x14ac:dyDescent="0.25">
      <c r="A227" s="8">
        <v>37244</v>
      </c>
      <c r="B227" s="36">
        <v>2001</v>
      </c>
      <c r="C227" s="36" t="s">
        <v>1014</v>
      </c>
      <c r="D227" s="1" t="s">
        <v>1504</v>
      </c>
      <c r="E227" s="1" t="s">
        <v>1392</v>
      </c>
      <c r="F227" s="1" t="s">
        <v>133</v>
      </c>
      <c r="G227" s="38">
        <v>59417</v>
      </c>
      <c r="J227" s="1" t="s">
        <v>361</v>
      </c>
      <c r="K227" s="40">
        <v>0.09</v>
      </c>
      <c r="L227" s="36" t="s">
        <v>454</v>
      </c>
      <c r="M227" s="1" t="s">
        <v>1169</v>
      </c>
      <c r="N227" s="36" t="s">
        <v>45</v>
      </c>
      <c r="O227" s="41">
        <v>20</v>
      </c>
      <c r="P227" s="36">
        <v>20</v>
      </c>
      <c r="Q227" s="42">
        <v>2750000</v>
      </c>
      <c r="R227" s="42"/>
      <c r="S227" s="42"/>
      <c r="T227" s="42"/>
      <c r="W227" s="8">
        <v>37560</v>
      </c>
      <c r="Y227" s="8">
        <f t="shared" si="49"/>
        <v>37560</v>
      </c>
      <c r="Z227" s="46">
        <f t="shared" si="50"/>
        <v>42674</v>
      </c>
      <c r="AA227" s="4">
        <v>31</v>
      </c>
      <c r="AB227" s="46">
        <f t="shared" si="53"/>
        <v>53996</v>
      </c>
      <c r="AC227" s="1" t="s">
        <v>265</v>
      </c>
      <c r="AD227" s="1" t="s">
        <v>251</v>
      </c>
      <c r="AE227" s="1" t="s">
        <v>266</v>
      </c>
      <c r="AF227" s="1" t="s">
        <v>264</v>
      </c>
      <c r="AG227" s="1" t="s">
        <v>472</v>
      </c>
      <c r="AH227" s="36">
        <v>59417</v>
      </c>
      <c r="AI227" s="47"/>
      <c r="AJ227" s="1" t="s">
        <v>682</v>
      </c>
      <c r="AU227" s="36">
        <v>20</v>
      </c>
      <c r="AY227" s="1">
        <v>16</v>
      </c>
      <c r="AZ227" s="1">
        <v>4</v>
      </c>
      <c r="BR227" s="52">
        <v>2531627</v>
      </c>
      <c r="BS227" s="52" t="e">
        <f>VLOOKUP(M227,#REF!,2,TRUE)*(BR227/1000000)</f>
        <v>#REF!</v>
      </c>
      <c r="BT227" s="43" t="e">
        <f>VLOOKUP(M227,#REF!,3,TRUE)*(BR227/1000000)</f>
        <v>#REF!</v>
      </c>
    </row>
    <row r="228" spans="1:72" ht="15" customHeight="1" x14ac:dyDescent="0.25">
      <c r="A228" s="8">
        <v>37244</v>
      </c>
      <c r="B228" s="36">
        <v>2001</v>
      </c>
      <c r="C228" s="36" t="s">
        <v>1014</v>
      </c>
      <c r="D228" s="1" t="s">
        <v>1936</v>
      </c>
      <c r="E228" s="1" t="s">
        <v>1390</v>
      </c>
      <c r="F228" s="1" t="s">
        <v>1038</v>
      </c>
      <c r="G228" s="38">
        <v>59864</v>
      </c>
      <c r="J228" s="1" t="s">
        <v>318</v>
      </c>
      <c r="K228" s="40">
        <v>0.09</v>
      </c>
      <c r="L228" s="36" t="s">
        <v>276</v>
      </c>
      <c r="M228" s="1" t="s">
        <v>1169</v>
      </c>
      <c r="N228" s="36" t="s">
        <v>45</v>
      </c>
      <c r="O228" s="41">
        <v>6</v>
      </c>
      <c r="P228" s="36">
        <v>1</v>
      </c>
      <c r="Q228" s="42">
        <v>685700</v>
      </c>
      <c r="R228" s="42"/>
      <c r="S228" s="42"/>
      <c r="T228" s="42"/>
      <c r="W228" s="8">
        <v>37347</v>
      </c>
      <c r="Y228" s="8">
        <f t="shared" si="49"/>
        <v>37347</v>
      </c>
      <c r="Z228" s="46">
        <f t="shared" si="50"/>
        <v>42461</v>
      </c>
      <c r="AA228" s="4">
        <v>31</v>
      </c>
      <c r="AB228" s="46">
        <f t="shared" si="53"/>
        <v>53783</v>
      </c>
      <c r="AC228" s="1" t="s">
        <v>268</v>
      </c>
      <c r="AD228" s="1" t="s">
        <v>185</v>
      </c>
      <c r="AE228" s="1" t="s">
        <v>591</v>
      </c>
      <c r="AF228" s="1" t="s">
        <v>128</v>
      </c>
      <c r="AG228" s="1" t="s">
        <v>472</v>
      </c>
      <c r="AH228" s="36">
        <v>59864</v>
      </c>
      <c r="AI228" s="47"/>
      <c r="AJ228" s="1" t="s">
        <v>592</v>
      </c>
      <c r="AU228" s="36">
        <v>6</v>
      </c>
      <c r="AZ228" s="1">
        <v>6</v>
      </c>
      <c r="BR228" s="52">
        <v>674886</v>
      </c>
      <c r="BS228" s="52" t="e">
        <f>VLOOKUP(M228,#REF!,2,TRUE)*(BR228/1000000)</f>
        <v>#REF!</v>
      </c>
      <c r="BT228" s="43" t="e">
        <f>VLOOKUP(M228,#REF!,3,TRUE)*(BR228/1000000)</f>
        <v>#REF!</v>
      </c>
    </row>
    <row r="229" spans="1:72" s="93" customFormat="1" ht="15" customHeight="1" x14ac:dyDescent="0.25">
      <c r="A229" s="8">
        <v>36875</v>
      </c>
      <c r="B229" s="36">
        <v>2000</v>
      </c>
      <c r="C229" s="36" t="s">
        <v>1014</v>
      </c>
      <c r="D229" s="1" t="s">
        <v>1914</v>
      </c>
      <c r="E229" s="1" t="s">
        <v>1391</v>
      </c>
      <c r="F229" s="1" t="s">
        <v>1031</v>
      </c>
      <c r="G229" s="38">
        <v>59937</v>
      </c>
      <c r="H229" s="39"/>
      <c r="I229" s="39"/>
      <c r="J229" s="1" t="s">
        <v>343</v>
      </c>
      <c r="K229" s="40">
        <v>0.09</v>
      </c>
      <c r="L229" s="36" t="s">
        <v>453</v>
      </c>
      <c r="M229" s="1" t="s">
        <v>1169</v>
      </c>
      <c r="N229" s="36" t="s">
        <v>45</v>
      </c>
      <c r="O229" s="41">
        <v>15</v>
      </c>
      <c r="P229" s="36">
        <v>2</v>
      </c>
      <c r="Q229" s="42">
        <v>821480</v>
      </c>
      <c r="R229" s="42"/>
      <c r="S229" s="42"/>
      <c r="T229" s="42"/>
      <c r="U229" s="53"/>
      <c r="V229" s="45"/>
      <c r="W229" s="8">
        <v>37195</v>
      </c>
      <c r="X229" s="8"/>
      <c r="Y229" s="8">
        <f t="shared" si="49"/>
        <v>37195</v>
      </c>
      <c r="Z229" s="46">
        <f t="shared" si="50"/>
        <v>42308</v>
      </c>
      <c r="AA229" s="4">
        <v>16</v>
      </c>
      <c r="AB229" s="46">
        <f t="shared" si="53"/>
        <v>48152</v>
      </c>
      <c r="AC229" s="1" t="s">
        <v>187</v>
      </c>
      <c r="AD229" s="1" t="s">
        <v>188</v>
      </c>
      <c r="AE229" s="1" t="s">
        <v>189</v>
      </c>
      <c r="AF229" s="1" t="s">
        <v>190</v>
      </c>
      <c r="AG229" s="1" t="s">
        <v>478</v>
      </c>
      <c r="AH229" s="36">
        <v>83835</v>
      </c>
      <c r="AI229" s="47"/>
      <c r="AJ229" s="1" t="s">
        <v>191</v>
      </c>
      <c r="AK229" s="1"/>
      <c r="AL229" s="1"/>
      <c r="AM229" s="1"/>
      <c r="AN229" s="1"/>
      <c r="AO229" s="1"/>
      <c r="AP229" s="1"/>
      <c r="AQ229" s="1"/>
      <c r="AR229" s="1"/>
      <c r="AS229" s="1"/>
      <c r="AT229" s="56"/>
      <c r="AU229" s="36">
        <v>15</v>
      </c>
      <c r="AV229" s="1"/>
      <c r="AW229" s="1"/>
      <c r="AX229" s="1">
        <v>3</v>
      </c>
      <c r="AY229" s="1">
        <v>9</v>
      </c>
      <c r="AZ229" s="1">
        <v>3</v>
      </c>
      <c r="BA229" s="1"/>
      <c r="BB229" s="1"/>
      <c r="BC229" s="1"/>
      <c r="BD229" s="1"/>
      <c r="BE229" s="1"/>
      <c r="BF229" s="92"/>
      <c r="BG229" s="92"/>
      <c r="BH229" s="92"/>
      <c r="BI229" s="92"/>
      <c r="BJ229" s="92"/>
      <c r="BK229" s="92"/>
      <c r="BL229" s="92"/>
      <c r="BM229" s="92"/>
      <c r="BN229" s="92"/>
      <c r="BR229" s="52">
        <v>749515</v>
      </c>
      <c r="BS229" s="52" t="e">
        <f>VLOOKUP(M229,#REF!,2,TRUE)*(BR229/1000000)</f>
        <v>#REF!</v>
      </c>
      <c r="BT229" s="43" t="e">
        <f>VLOOKUP(M229,#REF!,3,TRUE)*(BR229/1000000)</f>
        <v>#REF!</v>
      </c>
    </row>
    <row r="230" spans="1:72" ht="15" customHeight="1" x14ac:dyDescent="0.25">
      <c r="A230" s="8">
        <v>36875</v>
      </c>
      <c r="B230" s="36">
        <v>2000</v>
      </c>
      <c r="C230" s="36" t="s">
        <v>1014</v>
      </c>
      <c r="D230" s="1" t="s">
        <v>1937</v>
      </c>
      <c r="E230" s="1" t="s">
        <v>1390</v>
      </c>
      <c r="F230" s="1" t="s">
        <v>1038</v>
      </c>
      <c r="G230" s="38">
        <v>59864</v>
      </c>
      <c r="J230" s="1" t="s">
        <v>318</v>
      </c>
      <c r="K230" s="40">
        <v>0.09</v>
      </c>
      <c r="L230" s="36" t="s">
        <v>453</v>
      </c>
      <c r="M230" s="1" t="s">
        <v>1169</v>
      </c>
      <c r="N230" s="36" t="s">
        <v>45</v>
      </c>
      <c r="O230" s="41">
        <v>8</v>
      </c>
      <c r="P230" s="36">
        <v>2</v>
      </c>
      <c r="Q230" s="42">
        <v>617680</v>
      </c>
      <c r="R230" s="42"/>
      <c r="S230" s="42"/>
      <c r="T230" s="42"/>
      <c r="W230" s="8">
        <v>36976</v>
      </c>
      <c r="Y230" s="8">
        <f t="shared" si="49"/>
        <v>36976</v>
      </c>
      <c r="Z230" s="46">
        <f t="shared" si="50"/>
        <v>42089</v>
      </c>
      <c r="AA230" s="4">
        <v>16</v>
      </c>
      <c r="AB230" s="46">
        <f t="shared" si="53"/>
        <v>47933</v>
      </c>
      <c r="AC230" s="1" t="s">
        <v>459</v>
      </c>
      <c r="AD230" s="1" t="s">
        <v>185</v>
      </c>
      <c r="AE230" s="1" t="s">
        <v>591</v>
      </c>
      <c r="AF230" s="1" t="s">
        <v>128</v>
      </c>
      <c r="AG230" s="1" t="s">
        <v>472</v>
      </c>
      <c r="AH230" s="36">
        <v>59864</v>
      </c>
      <c r="AI230" s="47"/>
      <c r="AJ230" s="1" t="s">
        <v>186</v>
      </c>
      <c r="AU230" s="36">
        <v>8</v>
      </c>
      <c r="AZ230" s="1">
        <v>6</v>
      </c>
      <c r="BA230" s="1">
        <v>2</v>
      </c>
      <c r="BR230" s="52">
        <v>517028</v>
      </c>
      <c r="BS230" s="52" t="e">
        <f>VLOOKUP(M230,#REF!,2,TRUE)*(BR230/1000000)</f>
        <v>#REF!</v>
      </c>
      <c r="BT230" s="43" t="e">
        <f>VLOOKUP(M230,#REF!,3,TRUE)*(BR230/1000000)</f>
        <v>#REF!</v>
      </c>
    </row>
    <row r="231" spans="1:72" ht="15" customHeight="1" x14ac:dyDescent="0.25">
      <c r="A231" s="8">
        <v>36875</v>
      </c>
      <c r="B231" s="36">
        <v>2000</v>
      </c>
      <c r="C231" s="36" t="s">
        <v>1014</v>
      </c>
      <c r="D231" s="1" t="s">
        <v>1910</v>
      </c>
      <c r="E231" s="1" t="s">
        <v>1389</v>
      </c>
      <c r="F231" s="1" t="s">
        <v>1038</v>
      </c>
      <c r="G231" s="38">
        <v>59864</v>
      </c>
      <c r="J231" s="1" t="s">
        <v>318</v>
      </c>
      <c r="K231" s="40">
        <v>0.09</v>
      </c>
      <c r="L231" s="36" t="s">
        <v>440</v>
      </c>
      <c r="M231" s="1" t="s">
        <v>307</v>
      </c>
      <c r="N231" s="36" t="s">
        <v>45</v>
      </c>
      <c r="O231" s="41">
        <v>8</v>
      </c>
      <c r="P231" s="36">
        <v>1</v>
      </c>
      <c r="Q231" s="42">
        <v>319790</v>
      </c>
      <c r="R231" s="42"/>
      <c r="S231" s="42"/>
      <c r="T231" s="42"/>
      <c r="W231" s="8">
        <v>37087</v>
      </c>
      <c r="Y231" s="8">
        <f t="shared" ref="Y231:Y294" si="54">IF(W231&gt;X231,W231,X231)</f>
        <v>37087</v>
      </c>
      <c r="Z231" s="46">
        <f t="shared" ref="Z231:Z294" si="55">DATE(YEAR(Y231)+14,MONTH(Y231),DAY(Y231))</f>
        <v>42200</v>
      </c>
      <c r="AA231" s="4">
        <v>16</v>
      </c>
      <c r="AB231" s="46">
        <f t="shared" si="53"/>
        <v>48044</v>
      </c>
      <c r="AC231" s="1" t="s">
        <v>568</v>
      </c>
      <c r="AD231" s="1" t="s">
        <v>105</v>
      </c>
      <c r="AE231" s="1" t="s">
        <v>404</v>
      </c>
      <c r="AF231" s="1" t="s">
        <v>128</v>
      </c>
      <c r="AG231" s="1" t="s">
        <v>472</v>
      </c>
      <c r="AH231" s="36">
        <v>59864</v>
      </c>
      <c r="AI231" s="47"/>
      <c r="AJ231" s="1" t="s">
        <v>569</v>
      </c>
      <c r="AU231" s="36">
        <v>8</v>
      </c>
      <c r="AX231" s="1">
        <v>7</v>
      </c>
      <c r="AY231" s="1">
        <v>1</v>
      </c>
      <c r="BR231" s="52">
        <v>173999</v>
      </c>
      <c r="BS231" s="52" t="e">
        <f>VLOOKUP(M231,#REF!,2,TRUE)*(BR231/1000000)</f>
        <v>#REF!</v>
      </c>
      <c r="BT231" s="43" t="e">
        <f>VLOOKUP(M231,#REF!,3,TRUE)*(BR231/1000000)</f>
        <v>#REF!</v>
      </c>
    </row>
    <row r="232" spans="1:72" ht="15" customHeight="1" x14ac:dyDescent="0.25">
      <c r="A232" s="8">
        <v>36875</v>
      </c>
      <c r="B232" s="36">
        <v>2000</v>
      </c>
      <c r="C232" s="36" t="s">
        <v>1014</v>
      </c>
      <c r="D232" s="1" t="s">
        <v>1839</v>
      </c>
      <c r="E232" s="1" t="s">
        <v>1361</v>
      </c>
      <c r="F232" s="1" t="s">
        <v>195</v>
      </c>
      <c r="G232" s="38">
        <v>59715</v>
      </c>
      <c r="J232" s="1" t="s">
        <v>314</v>
      </c>
      <c r="K232" s="40">
        <v>0.09</v>
      </c>
      <c r="L232" s="36" t="s">
        <v>453</v>
      </c>
      <c r="M232" s="1" t="s">
        <v>1169</v>
      </c>
      <c r="N232" s="36" t="s">
        <v>45</v>
      </c>
      <c r="O232" s="41">
        <v>28</v>
      </c>
      <c r="P232" s="36">
        <v>3</v>
      </c>
      <c r="Q232" s="42">
        <v>2045630</v>
      </c>
      <c r="R232" s="42"/>
      <c r="S232" s="42"/>
      <c r="T232" s="42"/>
      <c r="W232" s="8">
        <v>37029</v>
      </c>
      <c r="Y232" s="8">
        <f t="shared" si="54"/>
        <v>37029</v>
      </c>
      <c r="Z232" s="46">
        <f t="shared" si="55"/>
        <v>42142</v>
      </c>
      <c r="AA232" s="4">
        <v>25</v>
      </c>
      <c r="AB232" s="46">
        <f t="shared" ref="AB232:AB263" si="56">DATE(YEAR(Z232)+AA232,MONTH(Z232),DAY(Z232))</f>
        <v>51274</v>
      </c>
      <c r="AC232" s="1" t="s">
        <v>624</v>
      </c>
      <c r="AD232" s="1" t="s">
        <v>605</v>
      </c>
      <c r="AE232" s="1" t="s">
        <v>331</v>
      </c>
      <c r="AF232" s="1" t="s">
        <v>479</v>
      </c>
      <c r="AG232" s="1" t="s">
        <v>472</v>
      </c>
      <c r="AH232" s="36">
        <v>59718</v>
      </c>
      <c r="AI232" s="47"/>
      <c r="AJ232" s="1" t="s">
        <v>184</v>
      </c>
      <c r="AU232" s="36">
        <v>28</v>
      </c>
      <c r="AX232" s="1">
        <v>28</v>
      </c>
      <c r="BR232" s="52">
        <v>1300563</v>
      </c>
      <c r="BS232" s="52" t="e">
        <f>VLOOKUP(M232,#REF!,2,TRUE)*(BR232/1000000)</f>
        <v>#REF!</v>
      </c>
      <c r="BT232" s="43" t="e">
        <f>VLOOKUP(M232,#REF!,3,TRUE)*(BR232/1000000)</f>
        <v>#REF!</v>
      </c>
    </row>
    <row r="233" spans="1:72" ht="15" customHeight="1" x14ac:dyDescent="0.25">
      <c r="A233" s="8">
        <v>36875</v>
      </c>
      <c r="B233" s="36">
        <v>2000</v>
      </c>
      <c r="C233" s="36" t="s">
        <v>1014</v>
      </c>
      <c r="D233" s="1" t="s">
        <v>1503</v>
      </c>
      <c r="E233" s="1" t="s">
        <v>1388</v>
      </c>
      <c r="F233" s="1" t="s">
        <v>887</v>
      </c>
      <c r="G233" s="38">
        <v>59601</v>
      </c>
      <c r="J233" s="37" t="s">
        <v>913</v>
      </c>
      <c r="K233" s="40">
        <v>0.09</v>
      </c>
      <c r="L233" s="36" t="s">
        <v>440</v>
      </c>
      <c r="M233" s="1" t="s">
        <v>1169</v>
      </c>
      <c r="N233" s="36" t="s">
        <v>45</v>
      </c>
      <c r="O233" s="41">
        <v>22</v>
      </c>
      <c r="P233" s="36">
        <v>6</v>
      </c>
      <c r="Q233" s="42">
        <v>1359920</v>
      </c>
      <c r="R233" s="42"/>
      <c r="S233" s="42"/>
      <c r="T233" s="42"/>
      <c r="W233" s="8">
        <v>37011</v>
      </c>
      <c r="Y233" s="8">
        <f t="shared" si="54"/>
        <v>37011</v>
      </c>
      <c r="Z233" s="46">
        <f t="shared" si="55"/>
        <v>42124</v>
      </c>
      <c r="AA233" s="4">
        <v>16</v>
      </c>
      <c r="AB233" s="46">
        <f t="shared" si="56"/>
        <v>47968</v>
      </c>
      <c r="AC233" s="1" t="s">
        <v>488</v>
      </c>
      <c r="AD233" s="1" t="s">
        <v>520</v>
      </c>
      <c r="AE233" s="1" t="s">
        <v>181</v>
      </c>
      <c r="AF233" s="1" t="s">
        <v>15</v>
      </c>
      <c r="AG233" s="1" t="s">
        <v>472</v>
      </c>
      <c r="AH233" s="36" t="s">
        <v>183</v>
      </c>
      <c r="AI233" s="47"/>
      <c r="AJ233" s="1" t="s">
        <v>466</v>
      </c>
      <c r="AU233" s="36">
        <v>22</v>
      </c>
      <c r="AX233" s="1">
        <v>21</v>
      </c>
      <c r="BE233" s="1">
        <v>1</v>
      </c>
      <c r="BR233" s="52">
        <v>1179530</v>
      </c>
      <c r="BS233" s="52" t="e">
        <f>VLOOKUP(M233,#REF!,2,TRUE)*(BR233/1000000)</f>
        <v>#REF!</v>
      </c>
      <c r="BT233" s="43" t="e">
        <f>VLOOKUP(M233,#REF!,3,TRUE)*(BR233/1000000)</f>
        <v>#REF!</v>
      </c>
    </row>
    <row r="234" spans="1:72" s="93" customFormat="1" ht="15" customHeight="1" x14ac:dyDescent="0.25">
      <c r="A234" s="8">
        <v>36875</v>
      </c>
      <c r="B234" s="36">
        <v>2000</v>
      </c>
      <c r="C234" s="36" t="s">
        <v>1014</v>
      </c>
      <c r="D234" s="1" t="s">
        <v>1502</v>
      </c>
      <c r="E234" s="1" t="s">
        <v>1387</v>
      </c>
      <c r="F234" s="1" t="s">
        <v>192</v>
      </c>
      <c r="G234" s="38">
        <v>59101</v>
      </c>
      <c r="H234" s="39"/>
      <c r="I234" s="39"/>
      <c r="J234" s="1" t="s">
        <v>898</v>
      </c>
      <c r="K234" s="40">
        <v>0.09</v>
      </c>
      <c r="L234" s="36" t="s">
        <v>440</v>
      </c>
      <c r="M234" s="1" t="s">
        <v>1169</v>
      </c>
      <c r="N234" s="36" t="s">
        <v>45</v>
      </c>
      <c r="O234" s="41">
        <v>10</v>
      </c>
      <c r="P234" s="36">
        <v>5</v>
      </c>
      <c r="Q234" s="42">
        <v>987600</v>
      </c>
      <c r="R234" s="42"/>
      <c r="S234" s="42"/>
      <c r="T234" s="42"/>
      <c r="U234" s="53"/>
      <c r="V234" s="45"/>
      <c r="W234" s="8">
        <v>37301</v>
      </c>
      <c r="X234" s="8"/>
      <c r="Y234" s="8">
        <f t="shared" si="54"/>
        <v>37301</v>
      </c>
      <c r="Z234" s="46">
        <f t="shared" si="55"/>
        <v>42414</v>
      </c>
      <c r="AA234" s="4">
        <v>25</v>
      </c>
      <c r="AB234" s="46">
        <f t="shared" si="56"/>
        <v>51546</v>
      </c>
      <c r="AC234" s="1" t="s">
        <v>178</v>
      </c>
      <c r="AD234" s="1" t="s">
        <v>293</v>
      </c>
      <c r="AE234" s="1" t="s">
        <v>113</v>
      </c>
      <c r="AF234" s="1" t="s">
        <v>179</v>
      </c>
      <c r="AG234" s="1" t="s">
        <v>472</v>
      </c>
      <c r="AH234" s="36">
        <v>59103</v>
      </c>
      <c r="AI234" s="47"/>
      <c r="AJ234" s="1" t="s">
        <v>180</v>
      </c>
      <c r="AK234" s="1"/>
      <c r="AL234" s="1"/>
      <c r="AM234" s="1"/>
      <c r="AN234" s="1"/>
      <c r="AO234" s="1"/>
      <c r="AP234" s="1"/>
      <c r="AQ234" s="1"/>
      <c r="AR234" s="1"/>
      <c r="AS234" s="1"/>
      <c r="AT234" s="56"/>
      <c r="AU234" s="36">
        <v>10</v>
      </c>
      <c r="AV234" s="1"/>
      <c r="AW234" s="1"/>
      <c r="AX234" s="1"/>
      <c r="AY234" s="1">
        <v>5</v>
      </c>
      <c r="AZ234" s="1">
        <v>1</v>
      </c>
      <c r="BA234" s="1">
        <v>4</v>
      </c>
      <c r="BB234" s="1"/>
      <c r="BC234" s="1"/>
      <c r="BD234" s="1"/>
      <c r="BE234" s="1"/>
      <c r="BF234" s="92"/>
      <c r="BG234" s="92"/>
      <c r="BH234" s="92"/>
      <c r="BI234" s="92"/>
      <c r="BJ234" s="92"/>
      <c r="BK234" s="92"/>
      <c r="BL234" s="92"/>
      <c r="BM234" s="92"/>
      <c r="BN234" s="92"/>
      <c r="BR234" s="52">
        <v>626000</v>
      </c>
      <c r="BS234" s="52" t="e">
        <f>VLOOKUP(M234,#REF!,2,TRUE)*(BR234/1000000)</f>
        <v>#REF!</v>
      </c>
      <c r="BT234" s="43" t="e">
        <f>VLOOKUP(M234,#REF!,3,TRUE)*(BR234/1000000)</f>
        <v>#REF!</v>
      </c>
    </row>
    <row r="235" spans="1:72" s="93" customFormat="1" ht="15" customHeight="1" x14ac:dyDescent="0.25">
      <c r="A235" s="8">
        <v>36875</v>
      </c>
      <c r="B235" s="36">
        <v>2000</v>
      </c>
      <c r="C235" s="36" t="s">
        <v>1014</v>
      </c>
      <c r="D235" s="1" t="s">
        <v>1501</v>
      </c>
      <c r="E235" s="1" t="s">
        <v>1386</v>
      </c>
      <c r="F235" s="1" t="s">
        <v>338</v>
      </c>
      <c r="G235" s="38">
        <v>59801</v>
      </c>
      <c r="H235" s="39"/>
      <c r="I235" s="39"/>
      <c r="J235" s="1" t="s">
        <v>338</v>
      </c>
      <c r="K235" s="40">
        <v>0.09</v>
      </c>
      <c r="L235" s="36" t="s">
        <v>453</v>
      </c>
      <c r="M235" s="1" t="s">
        <v>1169</v>
      </c>
      <c r="N235" s="36" t="s">
        <v>45</v>
      </c>
      <c r="O235" s="41">
        <v>53</v>
      </c>
      <c r="P235" s="36">
        <v>3</v>
      </c>
      <c r="Q235" s="42">
        <v>0</v>
      </c>
      <c r="R235" s="42"/>
      <c r="S235" s="42"/>
      <c r="T235" s="42"/>
      <c r="U235" s="53"/>
      <c r="V235" s="45"/>
      <c r="W235" s="8">
        <v>37301</v>
      </c>
      <c r="X235" s="8"/>
      <c r="Y235" s="8">
        <f t="shared" si="54"/>
        <v>37301</v>
      </c>
      <c r="Z235" s="46">
        <f t="shared" si="55"/>
        <v>42414</v>
      </c>
      <c r="AA235" s="4">
        <v>46</v>
      </c>
      <c r="AB235" s="46">
        <f t="shared" si="56"/>
        <v>59216</v>
      </c>
      <c r="AC235" s="1" t="s">
        <v>713</v>
      </c>
      <c r="AD235" s="1" t="s">
        <v>345</v>
      </c>
      <c r="AE235" s="1" t="s">
        <v>301</v>
      </c>
      <c r="AF235" s="1" t="s">
        <v>20</v>
      </c>
      <c r="AG235" s="1" t="s">
        <v>472</v>
      </c>
      <c r="AH235" s="36">
        <v>59801</v>
      </c>
      <c r="AI235" s="47"/>
      <c r="AJ235" s="1" t="s">
        <v>177</v>
      </c>
      <c r="AK235" s="1"/>
      <c r="AL235" s="1"/>
      <c r="AM235" s="1"/>
      <c r="AN235" s="1"/>
      <c r="AO235" s="1"/>
      <c r="AP235" s="1"/>
      <c r="AQ235" s="1"/>
      <c r="AR235" s="1"/>
      <c r="AS235" s="1"/>
      <c r="AT235" s="56"/>
      <c r="AU235" s="36">
        <v>53</v>
      </c>
      <c r="AV235" s="1"/>
      <c r="AW235" s="1"/>
      <c r="AX235" s="1">
        <v>19</v>
      </c>
      <c r="AY235" s="1">
        <v>34</v>
      </c>
      <c r="AZ235" s="1"/>
      <c r="BA235" s="1"/>
      <c r="BB235" s="1"/>
      <c r="BC235" s="1"/>
      <c r="BD235" s="1">
        <v>17</v>
      </c>
      <c r="BE235" s="1"/>
      <c r="BF235" s="92"/>
      <c r="BG235" s="92"/>
      <c r="BH235" s="92"/>
      <c r="BI235" s="92"/>
      <c r="BJ235" s="92"/>
      <c r="BK235" s="92"/>
      <c r="BL235" s="92"/>
      <c r="BM235" s="92"/>
      <c r="BN235" s="92"/>
      <c r="BR235" s="52">
        <v>2781976</v>
      </c>
      <c r="BS235" s="52" t="e">
        <f>VLOOKUP(M235,#REF!,2,TRUE)*(BR235/1000000)</f>
        <v>#REF!</v>
      </c>
      <c r="BT235" s="43" t="e">
        <f>VLOOKUP(M235,#REF!,3,TRUE)*(BR235/1000000)</f>
        <v>#REF!</v>
      </c>
    </row>
    <row r="236" spans="1:72" ht="15" customHeight="1" x14ac:dyDescent="0.25">
      <c r="A236" s="8">
        <v>36889</v>
      </c>
      <c r="B236" s="36">
        <v>2000</v>
      </c>
      <c r="C236" s="36" t="s">
        <v>1014</v>
      </c>
      <c r="D236" s="1" t="s">
        <v>1500</v>
      </c>
      <c r="E236" s="1" t="s">
        <v>1385</v>
      </c>
      <c r="F236" s="1" t="s">
        <v>1275</v>
      </c>
      <c r="G236" s="38">
        <v>59527</v>
      </c>
      <c r="J236" s="1" t="s">
        <v>171</v>
      </c>
      <c r="K236" s="40">
        <v>0.09</v>
      </c>
      <c r="L236" s="36" t="s">
        <v>454</v>
      </c>
      <c r="M236" s="1" t="s">
        <v>1169</v>
      </c>
      <c r="N236" s="36" t="s">
        <v>45</v>
      </c>
      <c r="O236" s="41">
        <v>11</v>
      </c>
      <c r="P236" s="36">
        <v>11</v>
      </c>
      <c r="Q236" s="42">
        <v>528000</v>
      </c>
      <c r="R236" s="42"/>
      <c r="S236" s="42"/>
      <c r="T236" s="42"/>
      <c r="W236" s="8">
        <v>37295</v>
      </c>
      <c r="Y236" s="8">
        <f t="shared" si="54"/>
        <v>37295</v>
      </c>
      <c r="Z236" s="46">
        <f t="shared" si="55"/>
        <v>42408</v>
      </c>
      <c r="AA236" s="4">
        <v>16</v>
      </c>
      <c r="AB236" s="46">
        <f t="shared" si="56"/>
        <v>48252</v>
      </c>
      <c r="AC236" s="1" t="s">
        <v>172</v>
      </c>
      <c r="AD236" s="1" t="s">
        <v>663</v>
      </c>
      <c r="AE236" s="1" t="s">
        <v>664</v>
      </c>
      <c r="AF236" s="1" t="s">
        <v>173</v>
      </c>
      <c r="AG236" s="1" t="s">
        <v>472</v>
      </c>
      <c r="AH236" s="36">
        <v>59526</v>
      </c>
      <c r="AI236" s="47"/>
      <c r="AJ236" s="1" t="s">
        <v>374</v>
      </c>
      <c r="AU236" s="36">
        <v>11</v>
      </c>
      <c r="AZ236" s="1">
        <v>11</v>
      </c>
      <c r="BR236" s="52">
        <v>834415</v>
      </c>
      <c r="BS236" s="52" t="e">
        <f>VLOOKUP(M236,#REF!,2,TRUE)*(BR236/1000000)</f>
        <v>#REF!</v>
      </c>
      <c r="BT236" s="43" t="e">
        <f>VLOOKUP(M236,#REF!,3,TRUE)*(BR236/1000000)</f>
        <v>#REF!</v>
      </c>
    </row>
    <row r="237" spans="1:72" ht="15" customHeight="1" x14ac:dyDescent="0.25">
      <c r="A237" s="8">
        <v>36889</v>
      </c>
      <c r="B237" s="36">
        <v>2000</v>
      </c>
      <c r="C237" s="36" t="s">
        <v>1014</v>
      </c>
      <c r="D237" s="1" t="s">
        <v>1948</v>
      </c>
      <c r="E237" s="1" t="s">
        <v>1384</v>
      </c>
      <c r="F237" s="1" t="s">
        <v>1274</v>
      </c>
      <c r="G237" s="38">
        <v>59526</v>
      </c>
      <c r="J237" s="1" t="s">
        <v>171</v>
      </c>
      <c r="K237" s="40">
        <v>0.09</v>
      </c>
      <c r="L237" s="36" t="s">
        <v>454</v>
      </c>
      <c r="M237" s="1" t="s">
        <v>1169</v>
      </c>
      <c r="N237" s="36" t="s">
        <v>45</v>
      </c>
      <c r="O237" s="41">
        <v>11</v>
      </c>
      <c r="P237" s="36">
        <v>11</v>
      </c>
      <c r="Q237" s="42">
        <v>528000</v>
      </c>
      <c r="R237" s="42"/>
      <c r="S237" s="42"/>
      <c r="T237" s="42"/>
      <c r="W237" s="8">
        <v>37295</v>
      </c>
      <c r="Y237" s="8">
        <f t="shared" si="54"/>
        <v>37295</v>
      </c>
      <c r="Z237" s="46">
        <f t="shared" si="55"/>
        <v>42408</v>
      </c>
      <c r="AA237" s="4">
        <v>16</v>
      </c>
      <c r="AB237" s="46">
        <f t="shared" si="56"/>
        <v>48252</v>
      </c>
      <c r="AC237" s="1" t="s">
        <v>662</v>
      </c>
      <c r="AD237" s="1" t="s">
        <v>663</v>
      </c>
      <c r="AE237" s="1" t="s">
        <v>664</v>
      </c>
      <c r="AF237" s="1" t="s">
        <v>173</v>
      </c>
      <c r="AG237" s="1" t="s">
        <v>472</v>
      </c>
      <c r="AH237" s="36">
        <v>59526</v>
      </c>
      <c r="AI237" s="47"/>
      <c r="AJ237" s="1" t="s">
        <v>374</v>
      </c>
      <c r="AU237" s="36">
        <v>11</v>
      </c>
      <c r="AZ237" s="1">
        <v>11</v>
      </c>
      <c r="BR237" s="52">
        <v>834415</v>
      </c>
      <c r="BS237" s="52" t="e">
        <f>VLOOKUP(M237,#REF!,2,TRUE)*(BR237/1000000)</f>
        <v>#REF!</v>
      </c>
      <c r="BT237" s="43" t="e">
        <f>VLOOKUP(M237,#REF!,3,TRUE)*(BR237/1000000)</f>
        <v>#REF!</v>
      </c>
    </row>
    <row r="238" spans="1:72" ht="15" customHeight="1" x14ac:dyDescent="0.25">
      <c r="A238" s="7">
        <v>36875</v>
      </c>
      <c r="B238" s="11">
        <v>2000</v>
      </c>
      <c r="C238" s="11" t="s">
        <v>1014</v>
      </c>
      <c r="D238" s="71" t="s">
        <v>1933</v>
      </c>
      <c r="E238" s="71" t="s">
        <v>1383</v>
      </c>
      <c r="F238" s="71" t="s">
        <v>1047</v>
      </c>
      <c r="G238" s="12">
        <v>59923</v>
      </c>
      <c r="H238" s="72"/>
      <c r="I238" s="72"/>
      <c r="J238" s="71" t="s">
        <v>446</v>
      </c>
      <c r="K238" s="89">
        <v>0.09</v>
      </c>
      <c r="L238" s="11" t="s">
        <v>442</v>
      </c>
      <c r="M238" s="71" t="s">
        <v>307</v>
      </c>
      <c r="N238" s="11" t="s">
        <v>443</v>
      </c>
      <c r="O238" s="76" t="s">
        <v>377</v>
      </c>
      <c r="P238" s="11"/>
      <c r="Q238" s="77">
        <v>975020</v>
      </c>
      <c r="R238" s="77"/>
      <c r="S238" s="77"/>
      <c r="T238" s="77"/>
      <c r="U238" s="79"/>
      <c r="V238" s="80"/>
      <c r="W238" s="8">
        <v>36861</v>
      </c>
      <c r="Y238" s="8">
        <f t="shared" si="54"/>
        <v>36861</v>
      </c>
      <c r="Z238" s="46">
        <f t="shared" si="55"/>
        <v>41974</v>
      </c>
      <c r="AA238" s="3">
        <v>16</v>
      </c>
      <c r="AB238" s="46">
        <f t="shared" si="56"/>
        <v>47818</v>
      </c>
      <c r="AC238" s="71" t="s">
        <v>678</v>
      </c>
      <c r="AD238" s="71" t="s">
        <v>539</v>
      </c>
      <c r="AE238" s="71" t="s">
        <v>540</v>
      </c>
      <c r="AF238" s="71" t="s">
        <v>542</v>
      </c>
      <c r="AG238" s="71" t="s">
        <v>475</v>
      </c>
      <c r="AH238" s="11">
        <v>92110</v>
      </c>
      <c r="AI238" s="47"/>
      <c r="AJ238" s="71" t="s">
        <v>680</v>
      </c>
      <c r="AK238" s="71"/>
      <c r="AL238" s="71"/>
      <c r="AM238" s="71"/>
      <c r="AN238" s="71"/>
      <c r="AO238" s="71"/>
      <c r="AP238" s="71"/>
      <c r="AQ238" s="71"/>
      <c r="AR238" s="71"/>
      <c r="AS238" s="71"/>
      <c r="AT238" s="90"/>
      <c r="AU238" s="11">
        <v>34</v>
      </c>
      <c r="AV238" s="71"/>
      <c r="AW238" s="71">
        <v>9</v>
      </c>
      <c r="AX238" s="71">
        <v>25</v>
      </c>
      <c r="AY238" s="71"/>
      <c r="AZ238" s="71"/>
      <c r="BA238" s="71"/>
      <c r="BB238" s="71"/>
      <c r="BC238" s="71"/>
      <c r="BD238" s="71">
        <v>2</v>
      </c>
      <c r="BE238" s="71"/>
      <c r="BR238" s="52">
        <v>1518726</v>
      </c>
      <c r="BS238" s="52" t="e">
        <f>VLOOKUP(M238,#REF!,2,TRUE)*(BR238/1000000)</f>
        <v>#REF!</v>
      </c>
      <c r="BT238" s="43" t="e">
        <f>VLOOKUP(M238,#REF!,3,TRUE)*(BR238/1000000)</f>
        <v>#REF!</v>
      </c>
    </row>
    <row r="239" spans="1:72" ht="15" customHeight="1" x14ac:dyDescent="0.25">
      <c r="A239" s="8">
        <v>36875</v>
      </c>
      <c r="B239" s="36">
        <v>2000</v>
      </c>
      <c r="C239" s="36" t="s">
        <v>1014</v>
      </c>
      <c r="D239" s="1" t="s">
        <v>1499</v>
      </c>
      <c r="E239" s="1" t="s">
        <v>1382</v>
      </c>
      <c r="F239" s="1" t="s">
        <v>1273</v>
      </c>
      <c r="G239" s="38">
        <v>59864</v>
      </c>
      <c r="J239" s="1" t="s">
        <v>318</v>
      </c>
      <c r="K239" s="40">
        <v>0.09</v>
      </c>
      <c r="L239" s="36" t="s">
        <v>454</v>
      </c>
      <c r="M239" s="1" t="s">
        <v>1169</v>
      </c>
      <c r="N239" s="36" t="s">
        <v>443</v>
      </c>
      <c r="O239" s="41">
        <v>10</v>
      </c>
      <c r="P239" s="36">
        <v>1</v>
      </c>
      <c r="Q239" s="42">
        <v>640000</v>
      </c>
      <c r="R239" s="42"/>
      <c r="S239" s="42"/>
      <c r="T239" s="42"/>
      <c r="W239" s="8">
        <v>37068</v>
      </c>
      <c r="Y239" s="8">
        <f t="shared" si="54"/>
        <v>37068</v>
      </c>
      <c r="Z239" s="46">
        <f t="shared" si="55"/>
        <v>42181</v>
      </c>
      <c r="AA239" s="4">
        <v>16</v>
      </c>
      <c r="AB239" s="46">
        <f t="shared" si="56"/>
        <v>48025</v>
      </c>
      <c r="AC239" s="1" t="s">
        <v>452</v>
      </c>
      <c r="AD239" s="1" t="s">
        <v>538</v>
      </c>
      <c r="AE239" s="1" t="s">
        <v>228</v>
      </c>
      <c r="AF239" s="1" t="s">
        <v>126</v>
      </c>
      <c r="AG239" s="1" t="s">
        <v>472</v>
      </c>
      <c r="AH239" s="36">
        <v>59855</v>
      </c>
      <c r="AI239" s="47"/>
      <c r="AJ239" s="1" t="s">
        <v>170</v>
      </c>
      <c r="AU239" s="36">
        <v>10</v>
      </c>
      <c r="AX239" s="1">
        <v>10</v>
      </c>
      <c r="BR239" s="52">
        <v>455136</v>
      </c>
      <c r="BS239" s="52" t="e">
        <f>VLOOKUP(M239,#REF!,2,TRUE)*(BR239/1000000)</f>
        <v>#REF!</v>
      </c>
      <c r="BT239" s="43" t="e">
        <f>VLOOKUP(M239,#REF!,3,TRUE)*(BR239/1000000)</f>
        <v>#REF!</v>
      </c>
    </row>
    <row r="240" spans="1:72" ht="15" customHeight="1" x14ac:dyDescent="0.25">
      <c r="A240" s="8">
        <v>36875</v>
      </c>
      <c r="B240" s="36">
        <v>2000</v>
      </c>
      <c r="C240" s="36" t="s">
        <v>1014</v>
      </c>
      <c r="D240" s="1" t="s">
        <v>1860</v>
      </c>
      <c r="E240" s="1" t="s">
        <v>1343</v>
      </c>
      <c r="F240" s="1" t="s">
        <v>910</v>
      </c>
      <c r="G240" s="38">
        <v>59714</v>
      </c>
      <c r="J240" s="1" t="s">
        <v>314</v>
      </c>
      <c r="K240" s="40">
        <v>0.09</v>
      </c>
      <c r="L240" s="36" t="s">
        <v>453</v>
      </c>
      <c r="M240" s="1" t="s">
        <v>1169</v>
      </c>
      <c r="N240" s="36" t="s">
        <v>45</v>
      </c>
      <c r="O240" s="41">
        <v>12</v>
      </c>
      <c r="P240" s="36">
        <v>1</v>
      </c>
      <c r="Q240" s="42">
        <v>699270</v>
      </c>
      <c r="R240" s="42"/>
      <c r="S240" s="42"/>
      <c r="T240" s="42"/>
      <c r="W240" s="8">
        <v>36874</v>
      </c>
      <c r="Y240" s="8">
        <f t="shared" si="54"/>
        <v>36874</v>
      </c>
      <c r="Z240" s="46">
        <f t="shared" si="55"/>
        <v>41987</v>
      </c>
      <c r="AA240" s="4">
        <v>16</v>
      </c>
      <c r="AB240" s="46">
        <f t="shared" si="56"/>
        <v>47831</v>
      </c>
      <c r="AC240" s="1" t="s">
        <v>657</v>
      </c>
      <c r="AD240" s="1" t="s">
        <v>605</v>
      </c>
      <c r="AE240" s="1" t="s">
        <v>331</v>
      </c>
      <c r="AF240" s="1" t="s">
        <v>479</v>
      </c>
      <c r="AG240" s="1" t="s">
        <v>472</v>
      </c>
      <c r="AH240" s="36">
        <v>59718</v>
      </c>
      <c r="AI240" s="47"/>
      <c r="AJ240" s="1" t="s">
        <v>168</v>
      </c>
      <c r="AU240" s="36">
        <v>12</v>
      </c>
      <c r="AX240" s="1">
        <v>12</v>
      </c>
      <c r="BR240" s="52">
        <v>425280</v>
      </c>
      <c r="BS240" s="52" t="e">
        <f>VLOOKUP(M240,#REF!,2,TRUE)*(BR240/1000000)</f>
        <v>#REF!</v>
      </c>
      <c r="BT240" s="43" t="e">
        <f>VLOOKUP(M240,#REF!,3,TRUE)*(BR240/1000000)</f>
        <v>#REF!</v>
      </c>
    </row>
    <row r="241" spans="1:72" ht="15" customHeight="1" x14ac:dyDescent="0.25">
      <c r="A241" s="8">
        <v>36301</v>
      </c>
      <c r="B241" s="36">
        <v>1999</v>
      </c>
      <c r="C241" s="36" t="s">
        <v>1014</v>
      </c>
      <c r="D241" s="1" t="s">
        <v>1742</v>
      </c>
      <c r="E241" s="1" t="s">
        <v>1381</v>
      </c>
      <c r="F241" s="1" t="s">
        <v>46</v>
      </c>
      <c r="G241" s="38">
        <v>59901</v>
      </c>
      <c r="J241" s="1" t="s">
        <v>343</v>
      </c>
      <c r="K241" s="40">
        <v>0.04</v>
      </c>
      <c r="L241" s="36" t="s">
        <v>442</v>
      </c>
      <c r="M241" s="1" t="s">
        <v>307</v>
      </c>
      <c r="N241" s="36" t="s">
        <v>45</v>
      </c>
      <c r="O241" s="41">
        <v>52</v>
      </c>
      <c r="P241" s="36">
        <v>5</v>
      </c>
      <c r="Q241" s="42">
        <v>749940</v>
      </c>
      <c r="R241" s="42"/>
      <c r="S241" s="42"/>
      <c r="T241" s="42"/>
      <c r="W241" s="8">
        <v>36404</v>
      </c>
      <c r="Y241" s="8">
        <f t="shared" si="54"/>
        <v>36404</v>
      </c>
      <c r="Z241" s="46">
        <f t="shared" si="55"/>
        <v>41518</v>
      </c>
      <c r="AA241" s="4">
        <v>16</v>
      </c>
      <c r="AB241" s="46">
        <f t="shared" si="56"/>
        <v>47362</v>
      </c>
      <c r="AC241" s="1" t="s">
        <v>732</v>
      </c>
      <c r="AD241" s="1" t="s">
        <v>539</v>
      </c>
      <c r="AE241" s="1" t="s">
        <v>540</v>
      </c>
      <c r="AF241" s="1" t="s">
        <v>542</v>
      </c>
      <c r="AG241" s="1" t="s">
        <v>475</v>
      </c>
      <c r="AH241" s="36">
        <v>92110</v>
      </c>
      <c r="AI241" s="47"/>
      <c r="AJ241" s="1" t="s">
        <v>651</v>
      </c>
      <c r="AU241" s="36">
        <f t="shared" ref="AU241:AU256" si="57">SUM(AV241:BE241)</f>
        <v>52</v>
      </c>
      <c r="AX241" s="1">
        <v>16</v>
      </c>
      <c r="AY241" s="1">
        <v>22</v>
      </c>
      <c r="AZ241" s="1">
        <v>13</v>
      </c>
      <c r="BE241" s="1">
        <v>1</v>
      </c>
      <c r="BR241" s="52">
        <v>2344353</v>
      </c>
      <c r="BS241" s="52" t="e">
        <f>VLOOKUP(M241,#REF!,2,TRUE)*(BR241/1000000)</f>
        <v>#REF!</v>
      </c>
      <c r="BT241" s="43" t="e">
        <f>VLOOKUP(M241,#REF!,3,TRUE)*(BR241/1000000)</f>
        <v>#REF!</v>
      </c>
    </row>
    <row r="242" spans="1:72" s="93" customFormat="1" ht="15" customHeight="1" x14ac:dyDescent="0.25">
      <c r="A242" s="8">
        <v>36301</v>
      </c>
      <c r="B242" s="36">
        <v>1999</v>
      </c>
      <c r="C242" s="36" t="s">
        <v>1014</v>
      </c>
      <c r="D242" s="1" t="s">
        <v>1743</v>
      </c>
      <c r="E242" s="1" t="s">
        <v>1380</v>
      </c>
      <c r="F242" s="1" t="s">
        <v>338</v>
      </c>
      <c r="G242" s="38">
        <v>59801</v>
      </c>
      <c r="H242" s="39"/>
      <c r="I242" s="39"/>
      <c r="J242" s="1" t="s">
        <v>338</v>
      </c>
      <c r="K242" s="40">
        <v>0.04</v>
      </c>
      <c r="L242" s="36" t="s">
        <v>442</v>
      </c>
      <c r="M242" s="1" t="s">
        <v>307</v>
      </c>
      <c r="N242" s="36" t="s">
        <v>45</v>
      </c>
      <c r="O242" s="41">
        <v>104</v>
      </c>
      <c r="P242" s="36">
        <v>12</v>
      </c>
      <c r="Q242" s="43">
        <v>1380660</v>
      </c>
      <c r="R242" s="43"/>
      <c r="S242" s="43"/>
      <c r="T242" s="43"/>
      <c r="U242" s="53"/>
      <c r="V242" s="45"/>
      <c r="W242" s="8">
        <v>36708</v>
      </c>
      <c r="X242" s="8"/>
      <c r="Y242" s="8">
        <f t="shared" si="54"/>
        <v>36708</v>
      </c>
      <c r="Z242" s="46">
        <f t="shared" si="55"/>
        <v>41821</v>
      </c>
      <c r="AA242" s="4">
        <v>16</v>
      </c>
      <c r="AB242" s="46">
        <f t="shared" si="56"/>
        <v>47665</v>
      </c>
      <c r="AC242" s="1" t="s">
        <v>541</v>
      </c>
      <c r="AD242" s="1" t="s">
        <v>539</v>
      </c>
      <c r="AE242" s="1" t="s">
        <v>540</v>
      </c>
      <c r="AF242" s="1" t="s">
        <v>542</v>
      </c>
      <c r="AG242" s="1" t="s">
        <v>475</v>
      </c>
      <c r="AH242" s="36">
        <v>92110</v>
      </c>
      <c r="AI242" s="47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56"/>
      <c r="AU242" s="36">
        <f t="shared" si="57"/>
        <v>104</v>
      </c>
      <c r="AV242" s="1"/>
      <c r="AW242" s="1">
        <v>14</v>
      </c>
      <c r="AX242" s="1">
        <v>19</v>
      </c>
      <c r="AY242" s="1">
        <v>64</v>
      </c>
      <c r="AZ242" s="1">
        <v>1</v>
      </c>
      <c r="BA242" s="1"/>
      <c r="BB242" s="1"/>
      <c r="BC242" s="1"/>
      <c r="BD242" s="1">
        <v>5</v>
      </c>
      <c r="BE242" s="1">
        <v>1</v>
      </c>
      <c r="BF242" s="92"/>
      <c r="BG242" s="92"/>
      <c r="BH242" s="92"/>
      <c r="BI242" s="92"/>
      <c r="BJ242" s="92"/>
      <c r="BK242" s="92"/>
      <c r="BL242" s="92"/>
      <c r="BM242" s="92"/>
      <c r="BN242" s="92"/>
      <c r="BR242" s="52">
        <v>4529392</v>
      </c>
      <c r="BS242" s="52" t="e">
        <f>VLOOKUP(M242,#REF!,2,TRUE)*(BR242/1000000)</f>
        <v>#REF!</v>
      </c>
      <c r="BT242" s="43" t="e">
        <f>VLOOKUP(M242,#REF!,3,TRUE)*(BR242/1000000)</f>
        <v>#REF!</v>
      </c>
    </row>
    <row r="243" spans="1:72" s="93" customFormat="1" ht="15" customHeight="1" x14ac:dyDescent="0.25">
      <c r="A243" s="8">
        <v>36301</v>
      </c>
      <c r="B243" s="36">
        <v>1999</v>
      </c>
      <c r="C243" s="36" t="s">
        <v>1014</v>
      </c>
      <c r="D243" s="1" t="s">
        <v>1744</v>
      </c>
      <c r="E243" s="1" t="s">
        <v>1379</v>
      </c>
      <c r="F243" s="1" t="s">
        <v>899</v>
      </c>
      <c r="G243" s="38">
        <v>59722</v>
      </c>
      <c r="H243" s="39"/>
      <c r="I243" s="39"/>
      <c r="J243" s="1" t="s">
        <v>376</v>
      </c>
      <c r="K243" s="40">
        <v>0.04</v>
      </c>
      <c r="L243" s="36" t="s">
        <v>442</v>
      </c>
      <c r="M243" s="1" t="s">
        <v>307</v>
      </c>
      <c r="N243" s="36" t="s">
        <v>45</v>
      </c>
      <c r="O243" s="41">
        <v>24</v>
      </c>
      <c r="P243" s="36">
        <v>1</v>
      </c>
      <c r="Q243" s="43">
        <v>184510</v>
      </c>
      <c r="R243" s="43"/>
      <c r="S243" s="43"/>
      <c r="T243" s="43"/>
      <c r="U243" s="53"/>
      <c r="V243" s="45"/>
      <c r="W243" s="8">
        <v>36708</v>
      </c>
      <c r="X243" s="8"/>
      <c r="Y243" s="8">
        <f t="shared" si="54"/>
        <v>36708</v>
      </c>
      <c r="Z243" s="46">
        <f t="shared" si="55"/>
        <v>41821</v>
      </c>
      <c r="AA243" s="4">
        <v>16</v>
      </c>
      <c r="AB243" s="46">
        <f t="shared" si="56"/>
        <v>47665</v>
      </c>
      <c r="AC243" s="1" t="s">
        <v>541</v>
      </c>
      <c r="AD243" s="1" t="s">
        <v>539</v>
      </c>
      <c r="AE243" s="1" t="s">
        <v>540</v>
      </c>
      <c r="AF243" s="1" t="s">
        <v>542</v>
      </c>
      <c r="AG243" s="1" t="s">
        <v>475</v>
      </c>
      <c r="AH243" s="36">
        <v>92110</v>
      </c>
      <c r="AI243" s="47"/>
      <c r="AJ243" s="1" t="s">
        <v>309</v>
      </c>
      <c r="AK243" s="1"/>
      <c r="AL243" s="1"/>
      <c r="AM243" s="1"/>
      <c r="AN243" s="1"/>
      <c r="AO243" s="1"/>
      <c r="AP243" s="1"/>
      <c r="AQ243" s="1"/>
      <c r="AR243" s="1"/>
      <c r="AS243" s="1"/>
      <c r="AT243" s="56"/>
      <c r="AU243" s="36">
        <f t="shared" si="57"/>
        <v>24</v>
      </c>
      <c r="AV243" s="1"/>
      <c r="AW243" s="1">
        <v>8</v>
      </c>
      <c r="AX243" s="1">
        <v>11</v>
      </c>
      <c r="AY243" s="1">
        <v>1</v>
      </c>
      <c r="AZ243" s="1"/>
      <c r="BA243" s="1"/>
      <c r="BB243" s="1"/>
      <c r="BC243" s="1"/>
      <c r="BD243" s="1">
        <v>3</v>
      </c>
      <c r="BE243" s="1">
        <v>1</v>
      </c>
      <c r="BF243" s="92"/>
      <c r="BG243" s="92"/>
      <c r="BH243" s="92"/>
      <c r="BI243" s="92"/>
      <c r="BJ243" s="92"/>
      <c r="BK243" s="92"/>
      <c r="BL243" s="92"/>
      <c r="BM243" s="92"/>
      <c r="BN243" s="92"/>
      <c r="BR243" s="52">
        <v>706393</v>
      </c>
      <c r="BS243" s="52" t="e">
        <f>VLOOKUP(M243,#REF!,2,TRUE)*(BR243/1000000)</f>
        <v>#REF!</v>
      </c>
      <c r="BT243" s="43" t="e">
        <f>VLOOKUP(M243,#REF!,3,TRUE)*(BR243/1000000)</f>
        <v>#REF!</v>
      </c>
    </row>
    <row r="244" spans="1:72" s="93" customFormat="1" ht="15" customHeight="1" x14ac:dyDescent="0.25">
      <c r="A244" s="9">
        <v>36301</v>
      </c>
      <c r="B244" s="92">
        <v>1999</v>
      </c>
      <c r="C244" s="92" t="s">
        <v>1931</v>
      </c>
      <c r="D244" s="93" t="s">
        <v>1917</v>
      </c>
      <c r="E244" s="93" t="s">
        <v>1378</v>
      </c>
      <c r="F244" s="93" t="s">
        <v>195</v>
      </c>
      <c r="G244" s="95">
        <v>59715</v>
      </c>
      <c r="H244" s="114"/>
      <c r="I244" s="114"/>
      <c r="J244" s="93" t="s">
        <v>314</v>
      </c>
      <c r="K244" s="97">
        <v>0.04</v>
      </c>
      <c r="L244" s="92" t="s">
        <v>442</v>
      </c>
      <c r="M244" s="93" t="s">
        <v>307</v>
      </c>
      <c r="N244" s="92" t="s">
        <v>443</v>
      </c>
      <c r="O244" s="98">
        <v>100</v>
      </c>
      <c r="P244" s="92">
        <v>1</v>
      </c>
      <c r="Q244" s="102">
        <v>1178520</v>
      </c>
      <c r="R244" s="102"/>
      <c r="S244" s="102"/>
      <c r="T244" s="102"/>
      <c r="U244" s="100"/>
      <c r="V244" s="101"/>
      <c r="W244" s="9">
        <v>36708</v>
      </c>
      <c r="X244" s="9"/>
      <c r="Y244" s="8">
        <f t="shared" si="54"/>
        <v>36708</v>
      </c>
      <c r="Z244" s="46">
        <f t="shared" si="55"/>
        <v>41821</v>
      </c>
      <c r="AA244" s="5">
        <v>16</v>
      </c>
      <c r="AB244" s="140">
        <f t="shared" si="56"/>
        <v>47665</v>
      </c>
      <c r="AC244" s="93" t="s">
        <v>650</v>
      </c>
      <c r="AD244" s="93" t="s">
        <v>539</v>
      </c>
      <c r="AE244" s="93" t="s">
        <v>540</v>
      </c>
      <c r="AF244" s="93" t="s">
        <v>542</v>
      </c>
      <c r="AG244" s="93" t="s">
        <v>475</v>
      </c>
      <c r="AH244" s="92">
        <v>92110</v>
      </c>
      <c r="AI244" s="47"/>
      <c r="AJ244" s="93" t="s">
        <v>651</v>
      </c>
      <c r="AT244" s="103"/>
      <c r="AU244" s="92">
        <f t="shared" si="57"/>
        <v>100</v>
      </c>
      <c r="AW244" s="93">
        <v>30</v>
      </c>
      <c r="AX244" s="93">
        <v>64</v>
      </c>
      <c r="BD244" s="93">
        <v>5</v>
      </c>
      <c r="BE244" s="93">
        <v>1</v>
      </c>
      <c r="BF244" s="92"/>
      <c r="BG244" s="92"/>
      <c r="BH244" s="92"/>
      <c r="BI244" s="92"/>
      <c r="BJ244" s="92"/>
      <c r="BK244" s="92"/>
      <c r="BL244" s="92"/>
      <c r="BM244" s="92"/>
      <c r="BN244" s="92"/>
      <c r="BR244" s="52">
        <v>3740749</v>
      </c>
      <c r="BS244" s="52" t="e">
        <f>VLOOKUP(M244,#REF!,2,TRUE)*(BR244/1000000)</f>
        <v>#REF!</v>
      </c>
      <c r="BT244" s="43" t="e">
        <f>VLOOKUP(M244,#REF!,3,TRUE)*(BR244/1000000)</f>
        <v>#REF!</v>
      </c>
    </row>
    <row r="245" spans="1:72" ht="15" customHeight="1" x14ac:dyDescent="0.25">
      <c r="A245" s="8">
        <v>36301</v>
      </c>
      <c r="B245" s="36">
        <v>1999</v>
      </c>
      <c r="C245" s="36" t="s">
        <v>1014</v>
      </c>
      <c r="D245" s="1" t="s">
        <v>1498</v>
      </c>
      <c r="E245" s="1" t="s">
        <v>1377</v>
      </c>
      <c r="F245" s="1" t="s">
        <v>1164</v>
      </c>
      <c r="G245" s="38">
        <v>59912</v>
      </c>
      <c r="J245" s="1" t="s">
        <v>343</v>
      </c>
      <c r="K245" s="40">
        <v>0.04</v>
      </c>
      <c r="L245" s="36" t="s">
        <v>442</v>
      </c>
      <c r="M245" s="1" t="s">
        <v>307</v>
      </c>
      <c r="N245" s="36" t="s">
        <v>45</v>
      </c>
      <c r="O245" s="41">
        <v>36</v>
      </c>
      <c r="P245" s="36">
        <v>3</v>
      </c>
      <c r="Q245" s="43">
        <v>487150</v>
      </c>
      <c r="R245" s="43"/>
      <c r="S245" s="43"/>
      <c r="T245" s="43"/>
      <c r="W245" s="8">
        <v>36708</v>
      </c>
      <c r="Y245" s="8">
        <f t="shared" si="54"/>
        <v>36708</v>
      </c>
      <c r="Z245" s="46">
        <f t="shared" si="55"/>
        <v>41821</v>
      </c>
      <c r="AA245" s="4">
        <v>16</v>
      </c>
      <c r="AB245" s="46">
        <f t="shared" si="56"/>
        <v>47665</v>
      </c>
      <c r="AC245" s="1" t="s">
        <v>625</v>
      </c>
      <c r="AD245" s="1" t="s">
        <v>539</v>
      </c>
      <c r="AE245" s="1" t="s">
        <v>540</v>
      </c>
      <c r="AF245" s="1" t="s">
        <v>542</v>
      </c>
      <c r="AG245" s="1" t="s">
        <v>475</v>
      </c>
      <c r="AH245" s="36">
        <v>92110</v>
      </c>
      <c r="AI245" s="47"/>
      <c r="AJ245" s="1" t="s">
        <v>626</v>
      </c>
      <c r="AU245" s="36">
        <f t="shared" si="57"/>
        <v>36</v>
      </c>
      <c r="AY245" s="1">
        <v>24</v>
      </c>
      <c r="AZ245" s="1">
        <v>12</v>
      </c>
      <c r="BR245" s="52">
        <v>1535779</v>
      </c>
      <c r="BS245" s="52" t="e">
        <f>VLOOKUP(M245,#REF!,2,TRUE)*(BR245/1000000)</f>
        <v>#REF!</v>
      </c>
      <c r="BT245" s="43" t="e">
        <f>VLOOKUP(M245,#REF!,3,TRUE)*(BR245/1000000)</f>
        <v>#REF!</v>
      </c>
    </row>
    <row r="246" spans="1:72" ht="15" customHeight="1" x14ac:dyDescent="0.25">
      <c r="A246" s="8">
        <v>36213</v>
      </c>
      <c r="B246" s="36">
        <v>1999</v>
      </c>
      <c r="C246" s="36" t="s">
        <v>1014</v>
      </c>
      <c r="D246" s="1" t="s">
        <v>1065</v>
      </c>
      <c r="E246" s="1" t="s">
        <v>1376</v>
      </c>
      <c r="F246" s="1" t="s">
        <v>1026</v>
      </c>
      <c r="G246" s="38">
        <v>59301</v>
      </c>
      <c r="J246" s="1" t="s">
        <v>468</v>
      </c>
      <c r="K246" s="40">
        <v>0.09</v>
      </c>
      <c r="L246" s="36" t="s">
        <v>467</v>
      </c>
      <c r="M246" s="1" t="s">
        <v>307</v>
      </c>
      <c r="N246" s="36" t="s">
        <v>45</v>
      </c>
      <c r="O246" s="41">
        <v>32</v>
      </c>
      <c r="P246" s="36">
        <v>8</v>
      </c>
      <c r="Q246" s="43">
        <v>612150</v>
      </c>
      <c r="R246" s="43"/>
      <c r="S246" s="43"/>
      <c r="T246" s="43"/>
      <c r="W246" s="8">
        <v>36513</v>
      </c>
      <c r="Y246" s="8">
        <f t="shared" si="54"/>
        <v>36513</v>
      </c>
      <c r="Z246" s="46">
        <f t="shared" si="55"/>
        <v>41627</v>
      </c>
      <c r="AA246" s="4">
        <v>15</v>
      </c>
      <c r="AB246" s="46">
        <f t="shared" si="56"/>
        <v>47106</v>
      </c>
      <c r="AC246" s="1" t="s">
        <v>108</v>
      </c>
      <c r="AD246" s="1" t="s">
        <v>646</v>
      </c>
      <c r="AE246" s="1" t="s">
        <v>647</v>
      </c>
      <c r="AF246" s="1" t="s">
        <v>648</v>
      </c>
      <c r="AG246" s="1" t="s">
        <v>649</v>
      </c>
      <c r="AH246" s="36">
        <v>34134</v>
      </c>
      <c r="AI246" s="47"/>
      <c r="AJ246" s="47"/>
      <c r="AK246" s="47"/>
      <c r="AL246" s="47"/>
      <c r="AM246" s="47"/>
      <c r="AN246" s="47"/>
      <c r="AO246" s="47"/>
      <c r="AP246" s="47"/>
      <c r="AQ246" s="47"/>
      <c r="AR246" s="47"/>
      <c r="AS246" s="47"/>
      <c r="AU246" s="36">
        <f t="shared" si="57"/>
        <v>32</v>
      </c>
      <c r="AY246" s="1">
        <v>23</v>
      </c>
      <c r="AZ246" s="1">
        <v>8</v>
      </c>
      <c r="BE246" s="1">
        <v>1</v>
      </c>
      <c r="BR246" s="52">
        <v>2085110</v>
      </c>
      <c r="BS246" s="52" t="e">
        <f>VLOOKUP(M246,#REF!,2,TRUE)*(BR246/1000000)</f>
        <v>#REF!</v>
      </c>
      <c r="BT246" s="43" t="e">
        <f>VLOOKUP(M246,#REF!,3,TRUE)*(BR246/1000000)</f>
        <v>#REF!</v>
      </c>
    </row>
    <row r="247" spans="1:72" ht="15" customHeight="1" x14ac:dyDescent="0.25">
      <c r="A247" s="7">
        <v>36516</v>
      </c>
      <c r="B247" s="11">
        <v>1999</v>
      </c>
      <c r="C247" s="11" t="s">
        <v>1014</v>
      </c>
      <c r="D247" s="71" t="s">
        <v>1932</v>
      </c>
      <c r="E247" s="71" t="s">
        <v>1375</v>
      </c>
      <c r="F247" s="71" t="s">
        <v>1047</v>
      </c>
      <c r="G247" s="12">
        <v>59923</v>
      </c>
      <c r="H247" s="72"/>
      <c r="I247" s="72"/>
      <c r="J247" s="71" t="s">
        <v>446</v>
      </c>
      <c r="K247" s="89">
        <v>0.09</v>
      </c>
      <c r="L247" s="11" t="s">
        <v>442</v>
      </c>
      <c r="M247" s="71" t="s">
        <v>307</v>
      </c>
      <c r="N247" s="11" t="s">
        <v>443</v>
      </c>
      <c r="O247" s="76">
        <v>34</v>
      </c>
      <c r="P247" s="11">
        <v>1</v>
      </c>
      <c r="Q247" s="81">
        <v>700000</v>
      </c>
      <c r="R247" s="81"/>
      <c r="S247" s="81"/>
      <c r="T247" s="81"/>
      <c r="U247" s="79"/>
      <c r="V247" s="80"/>
      <c r="W247" s="8">
        <v>36861</v>
      </c>
      <c r="Y247" s="8">
        <f t="shared" si="54"/>
        <v>36861</v>
      </c>
      <c r="Z247" s="46">
        <f t="shared" si="55"/>
        <v>41974</v>
      </c>
      <c r="AA247" s="3">
        <v>16</v>
      </c>
      <c r="AB247" s="46">
        <f t="shared" si="56"/>
        <v>47818</v>
      </c>
      <c r="AC247" s="71" t="s">
        <v>678</v>
      </c>
      <c r="AD247" s="71" t="s">
        <v>539</v>
      </c>
      <c r="AE247" s="71" t="s">
        <v>540</v>
      </c>
      <c r="AF247" s="71" t="s">
        <v>542</v>
      </c>
      <c r="AG247" s="71" t="s">
        <v>475</v>
      </c>
      <c r="AH247" s="11">
        <v>92110</v>
      </c>
      <c r="AI247" s="47"/>
      <c r="AJ247" s="71" t="s">
        <v>679</v>
      </c>
      <c r="AK247" s="71"/>
      <c r="AL247" s="71"/>
      <c r="AM247" s="71"/>
      <c r="AN247" s="71"/>
      <c r="AO247" s="71"/>
      <c r="AP247" s="71"/>
      <c r="AQ247" s="71"/>
      <c r="AR247" s="71"/>
      <c r="AS247" s="71"/>
      <c r="AT247" s="90"/>
      <c r="AU247" s="11">
        <f t="shared" si="57"/>
        <v>34</v>
      </c>
      <c r="AV247" s="71"/>
      <c r="AW247" s="71">
        <v>9</v>
      </c>
      <c r="AX247" s="71">
        <v>25</v>
      </c>
      <c r="AY247" s="71"/>
      <c r="AZ247" s="71"/>
      <c r="BA247" s="71"/>
      <c r="BB247" s="71"/>
      <c r="BC247" s="71"/>
      <c r="BD247" s="71"/>
      <c r="BE247" s="71"/>
      <c r="BR247" s="52">
        <v>1272513</v>
      </c>
      <c r="BS247" s="52" t="e">
        <f>VLOOKUP(M247,#REF!,2,TRUE)*(BR247/1000000)</f>
        <v>#REF!</v>
      </c>
      <c r="BT247" s="43" t="e">
        <f>VLOOKUP(M247,#REF!,3,TRUE)*(BR247/1000000)</f>
        <v>#REF!</v>
      </c>
    </row>
    <row r="248" spans="1:72" ht="15" customHeight="1" x14ac:dyDescent="0.25">
      <c r="A248" s="8">
        <v>36516</v>
      </c>
      <c r="B248" s="36">
        <v>1999</v>
      </c>
      <c r="C248" s="36" t="s">
        <v>1014</v>
      </c>
      <c r="D248" s="1" t="s">
        <v>1009</v>
      </c>
      <c r="E248" s="1" t="s">
        <v>1374</v>
      </c>
      <c r="F248" s="1" t="s">
        <v>46</v>
      </c>
      <c r="G248" s="38">
        <v>59901</v>
      </c>
      <c r="J248" s="1" t="s">
        <v>343</v>
      </c>
      <c r="K248" s="40">
        <v>0.04</v>
      </c>
      <c r="L248" s="36" t="s">
        <v>442</v>
      </c>
      <c r="M248" s="1" t="s">
        <v>307</v>
      </c>
      <c r="N248" s="36" t="s">
        <v>443</v>
      </c>
      <c r="O248" s="41">
        <v>60</v>
      </c>
      <c r="P248" s="36">
        <v>1</v>
      </c>
      <c r="Q248" s="43">
        <v>1150000</v>
      </c>
      <c r="R248" s="43"/>
      <c r="S248" s="43"/>
      <c r="T248" s="43"/>
      <c r="W248" s="8">
        <v>36405</v>
      </c>
      <c r="Y248" s="8">
        <f t="shared" si="54"/>
        <v>36405</v>
      </c>
      <c r="Z248" s="46">
        <f t="shared" si="55"/>
        <v>41519</v>
      </c>
      <c r="AA248" s="4">
        <v>31</v>
      </c>
      <c r="AB248" s="46">
        <f t="shared" si="56"/>
        <v>52842</v>
      </c>
      <c r="AC248" s="1" t="s">
        <v>606</v>
      </c>
      <c r="AD248" s="1" t="s">
        <v>539</v>
      </c>
      <c r="AE248" s="1" t="s">
        <v>540</v>
      </c>
      <c r="AF248" s="1" t="s">
        <v>542</v>
      </c>
      <c r="AG248" s="1" t="s">
        <v>475</v>
      </c>
      <c r="AH248" s="36">
        <v>92110</v>
      </c>
      <c r="AI248" s="47"/>
      <c r="AJ248" s="1" t="s">
        <v>607</v>
      </c>
      <c r="AU248" s="36">
        <f t="shared" si="57"/>
        <v>60</v>
      </c>
      <c r="AW248" s="1">
        <v>28</v>
      </c>
      <c r="AX248" s="1">
        <v>32</v>
      </c>
      <c r="BR248" s="52">
        <v>2114623</v>
      </c>
      <c r="BS248" s="52" t="e">
        <f>VLOOKUP(M248,#REF!,2,TRUE)*(BR248/1000000)</f>
        <v>#REF!</v>
      </c>
      <c r="BT248" s="43" t="e">
        <f>VLOOKUP(M248,#REF!,3,TRUE)*(BR248/1000000)</f>
        <v>#REF!</v>
      </c>
    </row>
    <row r="249" spans="1:72" ht="15" customHeight="1" x14ac:dyDescent="0.25">
      <c r="A249" s="8">
        <v>36516</v>
      </c>
      <c r="B249" s="36">
        <v>1999</v>
      </c>
      <c r="C249" s="36" t="s">
        <v>1014</v>
      </c>
      <c r="D249" s="1" t="s">
        <v>1925</v>
      </c>
      <c r="E249" s="1" t="s">
        <v>1373</v>
      </c>
      <c r="F249" s="1" t="s">
        <v>192</v>
      </c>
      <c r="G249" s="38">
        <v>59101</v>
      </c>
      <c r="J249" s="1" t="s">
        <v>300</v>
      </c>
      <c r="K249" s="40">
        <v>0.09</v>
      </c>
      <c r="L249" s="36" t="s">
        <v>453</v>
      </c>
      <c r="M249" s="1" t="s">
        <v>1169</v>
      </c>
      <c r="N249" s="36" t="s">
        <v>443</v>
      </c>
      <c r="O249" s="41">
        <v>50</v>
      </c>
      <c r="P249" s="36">
        <v>1</v>
      </c>
      <c r="Q249" s="43">
        <v>2750000</v>
      </c>
      <c r="R249" s="43"/>
      <c r="S249" s="43"/>
      <c r="T249" s="43"/>
      <c r="W249" s="8">
        <v>36783</v>
      </c>
      <c r="Y249" s="8">
        <f t="shared" si="54"/>
        <v>36783</v>
      </c>
      <c r="Z249" s="46">
        <f t="shared" si="55"/>
        <v>41896</v>
      </c>
      <c r="AA249" s="4">
        <v>35</v>
      </c>
      <c r="AB249" s="46">
        <f t="shared" si="56"/>
        <v>54680</v>
      </c>
      <c r="AC249" s="1" t="s">
        <v>102</v>
      </c>
      <c r="AD249" s="1" t="s">
        <v>288</v>
      </c>
      <c r="AE249" s="1" t="s">
        <v>353</v>
      </c>
      <c r="AF249" s="1" t="s">
        <v>20</v>
      </c>
      <c r="AG249" s="1" t="s">
        <v>472</v>
      </c>
      <c r="AH249" s="36">
        <v>59803</v>
      </c>
      <c r="AI249" s="47"/>
      <c r="AJ249" s="1" t="s">
        <v>447</v>
      </c>
      <c r="AU249" s="36">
        <f t="shared" si="57"/>
        <v>50</v>
      </c>
      <c r="AX249" s="1">
        <v>45</v>
      </c>
      <c r="AY249" s="1">
        <v>5</v>
      </c>
      <c r="BR249" s="52">
        <v>3556344</v>
      </c>
      <c r="BS249" s="52" t="e">
        <f>VLOOKUP(M249,#REF!,2,TRUE)*(BR249/1000000)</f>
        <v>#REF!</v>
      </c>
      <c r="BT249" s="43" t="e">
        <f>VLOOKUP(M249,#REF!,3,TRUE)*(BR249/1000000)</f>
        <v>#REF!</v>
      </c>
    </row>
    <row r="250" spans="1:72" ht="15" customHeight="1" x14ac:dyDescent="0.25">
      <c r="A250" s="8">
        <v>36516</v>
      </c>
      <c r="B250" s="36">
        <v>1999</v>
      </c>
      <c r="C250" s="36" t="s">
        <v>1014</v>
      </c>
      <c r="D250" s="1" t="s">
        <v>1497</v>
      </c>
      <c r="E250" s="1" t="s">
        <v>1372</v>
      </c>
      <c r="F250" s="1" t="s">
        <v>338</v>
      </c>
      <c r="G250" s="38">
        <v>59802</v>
      </c>
      <c r="J250" s="1" t="s">
        <v>338</v>
      </c>
      <c r="K250" s="40">
        <v>0.09</v>
      </c>
      <c r="L250" s="36" t="s">
        <v>440</v>
      </c>
      <c r="M250" s="1" t="s">
        <v>307</v>
      </c>
      <c r="N250" s="36" t="s">
        <v>45</v>
      </c>
      <c r="O250" s="41">
        <v>10</v>
      </c>
      <c r="P250" s="36">
        <v>1</v>
      </c>
      <c r="Q250" s="43">
        <v>1041000</v>
      </c>
      <c r="R250" s="43"/>
      <c r="S250" s="43"/>
      <c r="T250" s="43"/>
      <c r="W250" s="8">
        <v>36889</v>
      </c>
      <c r="Y250" s="8">
        <f t="shared" si="54"/>
        <v>36889</v>
      </c>
      <c r="Z250" s="46">
        <f t="shared" si="55"/>
        <v>42002</v>
      </c>
      <c r="AA250" s="4">
        <v>25</v>
      </c>
      <c r="AB250" s="46">
        <f t="shared" si="56"/>
        <v>51133</v>
      </c>
      <c r="AC250" s="1" t="s">
        <v>685</v>
      </c>
      <c r="AD250" s="1" t="s">
        <v>686</v>
      </c>
      <c r="AE250" s="1" t="s">
        <v>687</v>
      </c>
      <c r="AF250" s="1" t="s">
        <v>20</v>
      </c>
      <c r="AG250" s="1" t="s">
        <v>472</v>
      </c>
      <c r="AH250" s="36">
        <v>59802</v>
      </c>
      <c r="AI250" s="47"/>
      <c r="AJ250" s="1" t="s">
        <v>688</v>
      </c>
      <c r="AU250" s="36">
        <f t="shared" si="57"/>
        <v>10</v>
      </c>
      <c r="AW250" s="1">
        <v>4</v>
      </c>
      <c r="AX250" s="1">
        <v>6</v>
      </c>
      <c r="BR250" s="52">
        <v>1687923</v>
      </c>
      <c r="BS250" s="52" t="e">
        <f>VLOOKUP(M250,#REF!,2,TRUE)*(BR250/1000000)</f>
        <v>#REF!</v>
      </c>
      <c r="BT250" s="43" t="e">
        <f>VLOOKUP(M250,#REF!,3,TRUE)*(BR250/1000000)</f>
        <v>#REF!</v>
      </c>
    </row>
    <row r="251" spans="1:72" ht="15" customHeight="1" x14ac:dyDescent="0.25">
      <c r="A251" s="8">
        <v>36516</v>
      </c>
      <c r="B251" s="36">
        <v>1999</v>
      </c>
      <c r="C251" s="36" t="s">
        <v>1014</v>
      </c>
      <c r="D251" s="1" t="s">
        <v>1928</v>
      </c>
      <c r="E251" s="1" t="s">
        <v>1371</v>
      </c>
      <c r="F251" s="1" t="s">
        <v>1164</v>
      </c>
      <c r="G251" s="38">
        <v>59912</v>
      </c>
      <c r="J251" s="1" t="s">
        <v>343</v>
      </c>
      <c r="K251" s="40">
        <v>0.09</v>
      </c>
      <c r="L251" s="36" t="s">
        <v>453</v>
      </c>
      <c r="M251" s="1" t="s">
        <v>1169</v>
      </c>
      <c r="N251" s="36" t="s">
        <v>443</v>
      </c>
      <c r="O251" s="41">
        <v>20</v>
      </c>
      <c r="P251" s="36">
        <v>5</v>
      </c>
      <c r="Q251" s="43">
        <v>435030</v>
      </c>
      <c r="R251" s="43"/>
      <c r="S251" s="43"/>
      <c r="T251" s="43"/>
      <c r="W251" s="8">
        <v>36830</v>
      </c>
      <c r="Y251" s="8">
        <f t="shared" si="54"/>
        <v>36830</v>
      </c>
      <c r="Z251" s="46">
        <f t="shared" si="55"/>
        <v>41943</v>
      </c>
      <c r="AA251" s="4">
        <v>17</v>
      </c>
      <c r="AB251" s="46">
        <f t="shared" si="56"/>
        <v>48152</v>
      </c>
      <c r="AC251" s="1" t="s">
        <v>11</v>
      </c>
      <c r="AD251" s="1" t="s">
        <v>106</v>
      </c>
      <c r="AE251" s="1" t="s">
        <v>118</v>
      </c>
      <c r="AF251" s="1" t="s">
        <v>129</v>
      </c>
      <c r="AG251" s="1" t="s">
        <v>472</v>
      </c>
      <c r="AH251" s="36" t="s">
        <v>12</v>
      </c>
      <c r="AI251" s="47"/>
      <c r="AJ251" s="1" t="s">
        <v>458</v>
      </c>
      <c r="AU251" s="36">
        <f t="shared" si="57"/>
        <v>20</v>
      </c>
      <c r="AX251" s="1">
        <v>19</v>
      </c>
      <c r="BE251" s="1">
        <v>1</v>
      </c>
      <c r="BR251" s="52">
        <v>1369289</v>
      </c>
      <c r="BS251" s="52" t="e">
        <f>VLOOKUP(M251,#REF!,2,TRUE)*(BR251/1000000)</f>
        <v>#REF!</v>
      </c>
      <c r="BT251" s="43" t="e">
        <f>VLOOKUP(M251,#REF!,3,TRUE)*(BR251/1000000)</f>
        <v>#REF!</v>
      </c>
    </row>
    <row r="252" spans="1:72" ht="15" customHeight="1" x14ac:dyDescent="0.25">
      <c r="A252" s="8">
        <v>36516</v>
      </c>
      <c r="B252" s="36">
        <v>1999</v>
      </c>
      <c r="C252" s="36" t="s">
        <v>1014</v>
      </c>
      <c r="D252" s="1" t="s">
        <v>1496</v>
      </c>
      <c r="E252" s="1" t="s">
        <v>1370</v>
      </c>
      <c r="F252" s="1" t="s">
        <v>1272</v>
      </c>
      <c r="G252" s="38">
        <v>59865</v>
      </c>
      <c r="J252" s="1" t="s">
        <v>900</v>
      </c>
      <c r="K252" s="40">
        <v>0.09</v>
      </c>
      <c r="L252" s="36" t="s">
        <v>440</v>
      </c>
      <c r="M252" s="1" t="s">
        <v>307</v>
      </c>
      <c r="N252" s="36" t="s">
        <v>443</v>
      </c>
      <c r="O252" s="41">
        <v>9</v>
      </c>
      <c r="P252" s="36">
        <v>1</v>
      </c>
      <c r="Q252" s="43">
        <v>110000</v>
      </c>
      <c r="R252" s="43"/>
      <c r="S252" s="43"/>
      <c r="T252" s="43"/>
      <c r="W252" s="8">
        <v>36526</v>
      </c>
      <c r="Y252" s="8">
        <f t="shared" si="54"/>
        <v>36526</v>
      </c>
      <c r="Z252" s="46">
        <f t="shared" si="55"/>
        <v>41640</v>
      </c>
      <c r="AA252" s="4">
        <v>16</v>
      </c>
      <c r="AB252" s="46">
        <f t="shared" si="56"/>
        <v>47484</v>
      </c>
      <c r="AC252" s="1" t="s">
        <v>13</v>
      </c>
      <c r="AD252" s="1" t="s">
        <v>105</v>
      </c>
      <c r="AE252" s="1" t="s">
        <v>404</v>
      </c>
      <c r="AF252" s="1" t="s">
        <v>128</v>
      </c>
      <c r="AG252" s="1" t="s">
        <v>472</v>
      </c>
      <c r="AH252" s="36">
        <v>59864</v>
      </c>
      <c r="AI252" s="47"/>
      <c r="AJ252" s="1" t="s">
        <v>456</v>
      </c>
      <c r="AU252" s="36">
        <f t="shared" si="57"/>
        <v>9</v>
      </c>
      <c r="AX252" s="1">
        <v>5</v>
      </c>
      <c r="AY252" s="1">
        <v>4</v>
      </c>
      <c r="BR252" s="52">
        <v>264260</v>
      </c>
      <c r="BS252" s="52" t="e">
        <f>VLOOKUP(M252,#REF!,2,TRUE)*(BR252/1000000)</f>
        <v>#REF!</v>
      </c>
      <c r="BT252" s="43" t="e">
        <f>VLOOKUP(M252,#REF!,3,TRUE)*(BR252/1000000)</f>
        <v>#REF!</v>
      </c>
    </row>
    <row r="253" spans="1:72" ht="15" customHeight="1" x14ac:dyDescent="0.25">
      <c r="A253" s="8">
        <v>36516</v>
      </c>
      <c r="B253" s="36">
        <v>1999</v>
      </c>
      <c r="C253" s="36" t="s">
        <v>1014</v>
      </c>
      <c r="D253" s="1" t="s">
        <v>1495</v>
      </c>
      <c r="E253" s="1" t="s">
        <v>1851</v>
      </c>
      <c r="F253" s="1" t="s">
        <v>1038</v>
      </c>
      <c r="G253" s="38">
        <v>59864</v>
      </c>
      <c r="H253" s="39">
        <v>47.525539999999999</v>
      </c>
      <c r="I253" s="39">
        <v>-114.09553</v>
      </c>
      <c r="J253" s="1" t="s">
        <v>900</v>
      </c>
      <c r="K253" s="40">
        <v>0.09</v>
      </c>
      <c r="L253" s="36" t="s">
        <v>440</v>
      </c>
      <c r="M253" s="1" t="s">
        <v>307</v>
      </c>
      <c r="N253" s="36" t="s">
        <v>443</v>
      </c>
      <c r="O253" s="41">
        <v>21</v>
      </c>
      <c r="P253" s="36">
        <v>1</v>
      </c>
      <c r="Q253" s="43">
        <v>310000</v>
      </c>
      <c r="R253" s="43"/>
      <c r="S253" s="43"/>
      <c r="T253" s="43"/>
      <c r="W253" s="8">
        <v>36526</v>
      </c>
      <c r="Y253" s="8">
        <f t="shared" si="54"/>
        <v>36526</v>
      </c>
      <c r="Z253" s="46">
        <f t="shared" si="55"/>
        <v>41640</v>
      </c>
      <c r="AA253" s="4">
        <v>16</v>
      </c>
      <c r="AB253" s="46">
        <f t="shared" si="56"/>
        <v>47484</v>
      </c>
      <c r="AC253" s="1" t="s">
        <v>13</v>
      </c>
      <c r="AD253" s="1" t="s">
        <v>105</v>
      </c>
      <c r="AE253" s="1" t="s">
        <v>404</v>
      </c>
      <c r="AF253" s="1" t="s">
        <v>128</v>
      </c>
      <c r="AG253" s="1" t="s">
        <v>472</v>
      </c>
      <c r="AH253" s="36">
        <v>59864</v>
      </c>
      <c r="AI253" s="47"/>
      <c r="AJ253" s="1" t="s">
        <v>456</v>
      </c>
      <c r="AU253" s="36">
        <f t="shared" si="57"/>
        <v>21</v>
      </c>
      <c r="AX253" s="1">
        <v>13</v>
      </c>
      <c r="AY253" s="1">
        <v>8</v>
      </c>
      <c r="BR253" s="52">
        <v>748550</v>
      </c>
      <c r="BS253" s="52" t="e">
        <f>VLOOKUP(M253,#REF!,2,TRUE)*(BR253/1000000)</f>
        <v>#REF!</v>
      </c>
      <c r="BT253" s="43" t="e">
        <f>VLOOKUP(M253,#REF!,3,TRUE)*(BR253/1000000)</f>
        <v>#REF!</v>
      </c>
    </row>
    <row r="254" spans="1:72" ht="15" customHeight="1" x14ac:dyDescent="0.25">
      <c r="A254" s="8">
        <v>36516</v>
      </c>
      <c r="B254" s="36">
        <v>1999</v>
      </c>
      <c r="C254" s="36" t="s">
        <v>1014</v>
      </c>
      <c r="D254" s="1" t="s">
        <v>1494</v>
      </c>
      <c r="E254" s="1" t="s">
        <v>1369</v>
      </c>
      <c r="F254" s="1" t="s">
        <v>46</v>
      </c>
      <c r="G254" s="38">
        <v>59901</v>
      </c>
      <c r="J254" s="1" t="s">
        <v>343</v>
      </c>
      <c r="K254" s="40">
        <v>0.09</v>
      </c>
      <c r="L254" s="36" t="s">
        <v>453</v>
      </c>
      <c r="M254" s="1" t="s">
        <v>1169</v>
      </c>
      <c r="N254" s="36" t="s">
        <v>443</v>
      </c>
      <c r="O254" s="41">
        <v>24</v>
      </c>
      <c r="P254" s="36">
        <v>12</v>
      </c>
      <c r="Q254" s="43">
        <v>499990</v>
      </c>
      <c r="R254" s="43"/>
      <c r="S254" s="43"/>
      <c r="T254" s="43"/>
      <c r="W254" s="8">
        <v>36825</v>
      </c>
      <c r="Y254" s="8">
        <f t="shared" si="54"/>
        <v>36825</v>
      </c>
      <c r="Z254" s="46">
        <f t="shared" si="55"/>
        <v>41938</v>
      </c>
      <c r="AA254" s="4">
        <v>17</v>
      </c>
      <c r="AB254" s="46">
        <f t="shared" si="56"/>
        <v>48147</v>
      </c>
      <c r="AC254" s="1" t="s">
        <v>586</v>
      </c>
      <c r="AD254" s="1" t="s">
        <v>103</v>
      </c>
      <c r="AE254" s="1" t="s">
        <v>320</v>
      </c>
      <c r="AF254" s="1" t="s">
        <v>321</v>
      </c>
      <c r="AG254" s="1" t="s">
        <v>478</v>
      </c>
      <c r="AH254" s="36">
        <v>83616</v>
      </c>
      <c r="AI254" s="47"/>
      <c r="AJ254" s="1" t="s">
        <v>455</v>
      </c>
      <c r="AU254" s="36">
        <f t="shared" si="57"/>
        <v>24</v>
      </c>
      <c r="AX254" s="1">
        <v>18</v>
      </c>
      <c r="AY254" s="1">
        <v>5</v>
      </c>
      <c r="BE254" s="1">
        <v>1</v>
      </c>
      <c r="BR254" s="52">
        <v>1664169</v>
      </c>
      <c r="BS254" s="52" t="e">
        <f>VLOOKUP(M254,#REF!,2,TRUE)*(BR254/1000000)</f>
        <v>#REF!</v>
      </c>
      <c r="BT254" s="43" t="e">
        <f>VLOOKUP(M254,#REF!,3,TRUE)*(BR254/1000000)</f>
        <v>#REF!</v>
      </c>
    </row>
    <row r="255" spans="1:72" s="93" customFormat="1" ht="15" customHeight="1" x14ac:dyDescent="0.25">
      <c r="A255" s="8">
        <v>36516</v>
      </c>
      <c r="B255" s="36">
        <v>1999</v>
      </c>
      <c r="C255" s="36" t="s">
        <v>1014</v>
      </c>
      <c r="D255" s="1" t="s">
        <v>1493</v>
      </c>
      <c r="E255" s="1" t="s">
        <v>1368</v>
      </c>
      <c r="F255" s="1" t="s">
        <v>1650</v>
      </c>
      <c r="G255" s="38">
        <v>59855</v>
      </c>
      <c r="H255" s="39"/>
      <c r="I255" s="39"/>
      <c r="J255" s="1" t="s">
        <v>318</v>
      </c>
      <c r="K255" s="40">
        <v>0.09</v>
      </c>
      <c r="L255" s="36" t="s">
        <v>454</v>
      </c>
      <c r="M255" s="1" t="s">
        <v>1169</v>
      </c>
      <c r="N255" s="36" t="s">
        <v>443</v>
      </c>
      <c r="O255" s="41">
        <v>10</v>
      </c>
      <c r="P255" s="36">
        <v>1</v>
      </c>
      <c r="Q255" s="43">
        <v>499990</v>
      </c>
      <c r="R255" s="43"/>
      <c r="S255" s="43"/>
      <c r="T255" s="43"/>
      <c r="U255" s="53"/>
      <c r="V255" s="45"/>
      <c r="W255" s="8">
        <v>36861</v>
      </c>
      <c r="X255" s="8"/>
      <c r="Y255" s="8">
        <f t="shared" si="54"/>
        <v>36861</v>
      </c>
      <c r="Z255" s="46">
        <f t="shared" si="55"/>
        <v>41974</v>
      </c>
      <c r="AA255" s="4">
        <v>30</v>
      </c>
      <c r="AB255" s="46">
        <f t="shared" si="56"/>
        <v>52932</v>
      </c>
      <c r="AC255" s="1" t="s">
        <v>460</v>
      </c>
      <c r="AD255" s="1" t="s">
        <v>538</v>
      </c>
      <c r="AE255" s="1" t="s">
        <v>228</v>
      </c>
      <c r="AF255" s="1" t="s">
        <v>126</v>
      </c>
      <c r="AG255" s="1" t="s">
        <v>472</v>
      </c>
      <c r="AH255" s="36">
        <v>59855</v>
      </c>
      <c r="AI255" s="47"/>
      <c r="AJ255" s="1" t="s">
        <v>594</v>
      </c>
      <c r="AK255" s="1"/>
      <c r="AL255" s="1"/>
      <c r="AM255" s="1"/>
      <c r="AN255" s="1"/>
      <c r="AO255" s="1"/>
      <c r="AP255" s="1"/>
      <c r="AQ255" s="1"/>
      <c r="AR255" s="1"/>
      <c r="AS255" s="1"/>
      <c r="AT255" s="56"/>
      <c r="AU255" s="36">
        <f t="shared" si="57"/>
        <v>10</v>
      </c>
      <c r="AV255" s="1"/>
      <c r="AW255" s="1"/>
      <c r="AX255" s="1">
        <v>10</v>
      </c>
      <c r="AY255" s="1"/>
      <c r="AZ255" s="1"/>
      <c r="BA255" s="1"/>
      <c r="BB255" s="1"/>
      <c r="BC255" s="1"/>
      <c r="BD255" s="1"/>
      <c r="BE255" s="1"/>
      <c r="BF255" s="92"/>
      <c r="BG255" s="92"/>
      <c r="BH255" s="92"/>
      <c r="BI255" s="92"/>
      <c r="BJ255" s="92"/>
      <c r="BK255" s="92"/>
      <c r="BL255" s="92"/>
      <c r="BM255" s="92"/>
      <c r="BN255" s="92"/>
      <c r="BR255" s="52">
        <v>582380</v>
      </c>
      <c r="BS255" s="52" t="e">
        <f>VLOOKUP(M255,#REF!,2,TRUE)*(BR255/1000000)</f>
        <v>#REF!</v>
      </c>
      <c r="BT255" s="43" t="e">
        <f>VLOOKUP(M255,#REF!,3,TRUE)*(BR255/1000000)</f>
        <v>#REF!</v>
      </c>
    </row>
    <row r="256" spans="1:72" ht="15" customHeight="1" x14ac:dyDescent="0.25">
      <c r="A256" s="8">
        <v>36516</v>
      </c>
      <c r="B256" s="36">
        <v>1999</v>
      </c>
      <c r="C256" s="36" t="s">
        <v>1014</v>
      </c>
      <c r="D256" s="1" t="s">
        <v>1492</v>
      </c>
      <c r="E256" s="1" t="s">
        <v>1367</v>
      </c>
      <c r="F256" s="1" t="s">
        <v>989</v>
      </c>
      <c r="G256" s="38">
        <v>59047</v>
      </c>
      <c r="J256" s="1" t="s">
        <v>412</v>
      </c>
      <c r="K256" s="40">
        <v>0.09</v>
      </c>
      <c r="L256" s="36" t="s">
        <v>453</v>
      </c>
      <c r="M256" s="1" t="s">
        <v>1169</v>
      </c>
      <c r="N256" s="36" t="s">
        <v>45</v>
      </c>
      <c r="O256" s="41">
        <v>18</v>
      </c>
      <c r="P256" s="36">
        <v>2</v>
      </c>
      <c r="Q256" s="43">
        <v>390000</v>
      </c>
      <c r="R256" s="43"/>
      <c r="S256" s="43"/>
      <c r="T256" s="43"/>
      <c r="W256" s="8">
        <v>36598</v>
      </c>
      <c r="Y256" s="8">
        <f t="shared" si="54"/>
        <v>36598</v>
      </c>
      <c r="Z256" s="46">
        <f t="shared" si="55"/>
        <v>41711</v>
      </c>
      <c r="AA256" s="4">
        <v>16</v>
      </c>
      <c r="AB256" s="46">
        <f t="shared" si="56"/>
        <v>47555</v>
      </c>
      <c r="AC256" s="1" t="s">
        <v>582</v>
      </c>
      <c r="AD256" s="1" t="s">
        <v>583</v>
      </c>
      <c r="AE256" s="1" t="s">
        <v>141</v>
      </c>
      <c r="AF256" s="1" t="s">
        <v>27</v>
      </c>
      <c r="AG256" s="1" t="s">
        <v>476</v>
      </c>
      <c r="AH256" s="36">
        <v>85801</v>
      </c>
      <c r="AI256" s="47"/>
      <c r="AJ256" s="1" t="s">
        <v>444</v>
      </c>
      <c r="AU256" s="36">
        <f t="shared" si="57"/>
        <v>18</v>
      </c>
      <c r="AX256" s="1">
        <v>2</v>
      </c>
      <c r="AY256" s="1">
        <v>12</v>
      </c>
      <c r="AZ256" s="1">
        <v>4</v>
      </c>
      <c r="BR256" s="52">
        <v>1341060</v>
      </c>
      <c r="BS256" s="52" t="e">
        <f>VLOOKUP(M256,#REF!,2,TRUE)*(BR256/1000000)</f>
        <v>#REF!</v>
      </c>
      <c r="BT256" s="43" t="e">
        <f>VLOOKUP(M256,#REF!,3,TRUE)*(BR256/1000000)</f>
        <v>#REF!</v>
      </c>
    </row>
    <row r="257" spans="1:72" ht="15" customHeight="1" x14ac:dyDescent="0.25">
      <c r="A257" s="8">
        <v>36151</v>
      </c>
      <c r="B257" s="36">
        <v>1998</v>
      </c>
      <c r="C257" s="36" t="s">
        <v>1014</v>
      </c>
      <c r="D257" s="1" t="s">
        <v>1926</v>
      </c>
      <c r="E257" s="1" t="s">
        <v>1366</v>
      </c>
      <c r="F257" s="1" t="s">
        <v>192</v>
      </c>
      <c r="G257" s="38">
        <v>59103</v>
      </c>
      <c r="J257" s="1" t="s">
        <v>300</v>
      </c>
      <c r="K257" s="40">
        <v>0.09</v>
      </c>
      <c r="L257" s="36" t="s">
        <v>453</v>
      </c>
      <c r="M257" s="1" t="s">
        <v>1169</v>
      </c>
      <c r="N257" s="36" t="s">
        <v>443</v>
      </c>
      <c r="O257" s="41">
        <v>30</v>
      </c>
      <c r="P257" s="36">
        <v>1</v>
      </c>
      <c r="Q257" s="43">
        <v>1365300</v>
      </c>
      <c r="R257" s="43"/>
      <c r="S257" s="43"/>
      <c r="T257" s="43"/>
      <c r="W257" s="8">
        <v>36783</v>
      </c>
      <c r="Y257" s="8">
        <f t="shared" si="54"/>
        <v>36783</v>
      </c>
      <c r="Z257" s="46">
        <f t="shared" si="55"/>
        <v>41896</v>
      </c>
      <c r="AA257" s="4">
        <v>35</v>
      </c>
      <c r="AB257" s="46">
        <f t="shared" si="56"/>
        <v>54680</v>
      </c>
      <c r="AC257" s="1" t="s">
        <v>234</v>
      </c>
      <c r="AD257" s="1" t="s">
        <v>7</v>
      </c>
      <c r="AE257" s="1" t="s">
        <v>353</v>
      </c>
      <c r="AF257" s="1" t="s">
        <v>20</v>
      </c>
      <c r="AG257" s="1" t="s">
        <v>472</v>
      </c>
      <c r="AH257" s="36">
        <v>59803</v>
      </c>
      <c r="AI257" s="47"/>
      <c r="AJ257" s="1" t="s">
        <v>635</v>
      </c>
      <c r="AU257" s="36">
        <v>30</v>
      </c>
      <c r="AX257" s="1">
        <v>15</v>
      </c>
      <c r="AY257" s="1">
        <v>15</v>
      </c>
      <c r="BR257" s="52">
        <v>1927233</v>
      </c>
      <c r="BS257" s="52" t="e">
        <f>VLOOKUP(M257,#REF!,2,TRUE)*(BR257/1000000)</f>
        <v>#REF!</v>
      </c>
      <c r="BT257" s="43" t="e">
        <f>VLOOKUP(M257,#REF!,3,TRUE)*(BR257/1000000)</f>
        <v>#REF!</v>
      </c>
    </row>
    <row r="258" spans="1:72" ht="15" customHeight="1" x14ac:dyDescent="0.25">
      <c r="A258" s="8">
        <v>36151</v>
      </c>
      <c r="B258" s="36">
        <v>1998</v>
      </c>
      <c r="C258" s="36" t="s">
        <v>1014</v>
      </c>
      <c r="D258" s="1" t="s">
        <v>1491</v>
      </c>
      <c r="E258" s="1" t="s">
        <v>1365</v>
      </c>
      <c r="F258" s="1" t="s">
        <v>1035</v>
      </c>
      <c r="G258" s="38">
        <v>59068</v>
      </c>
      <c r="J258" s="1" t="s">
        <v>392</v>
      </c>
      <c r="K258" s="40">
        <v>0.09</v>
      </c>
      <c r="L258" s="36" t="s">
        <v>453</v>
      </c>
      <c r="M258" s="1" t="s">
        <v>1169</v>
      </c>
      <c r="N258" s="36" t="s">
        <v>45</v>
      </c>
      <c r="O258" s="41">
        <v>32</v>
      </c>
      <c r="P258" s="36">
        <v>3</v>
      </c>
      <c r="Q258" s="43">
        <v>1785200</v>
      </c>
      <c r="R258" s="43"/>
      <c r="S258" s="43"/>
      <c r="T258" s="43"/>
      <c r="W258" s="8">
        <v>36342</v>
      </c>
      <c r="Y258" s="8">
        <f t="shared" si="54"/>
        <v>36342</v>
      </c>
      <c r="Z258" s="46">
        <f t="shared" si="55"/>
        <v>41456</v>
      </c>
      <c r="AA258" s="4">
        <v>16</v>
      </c>
      <c r="AB258" s="46">
        <f t="shared" si="56"/>
        <v>47300</v>
      </c>
      <c r="AC258" s="1" t="s">
        <v>557</v>
      </c>
      <c r="AD258" s="1" t="s">
        <v>696</v>
      </c>
      <c r="AE258" s="1" t="s">
        <v>697</v>
      </c>
      <c r="AF258" s="1" t="s">
        <v>698</v>
      </c>
      <c r="AG258" s="1" t="s">
        <v>475</v>
      </c>
      <c r="AH258" s="36">
        <v>90748</v>
      </c>
      <c r="AI258" s="47"/>
      <c r="AJ258" s="1" t="s">
        <v>699</v>
      </c>
      <c r="AU258" s="36">
        <v>32</v>
      </c>
      <c r="AX258" s="1">
        <v>16</v>
      </c>
      <c r="AY258" s="1">
        <v>16</v>
      </c>
      <c r="BR258" s="52">
        <v>2135786</v>
      </c>
      <c r="BS258" s="52" t="e">
        <f>VLOOKUP(M258,#REF!,2,TRUE)*(BR258/1000000)</f>
        <v>#REF!</v>
      </c>
      <c r="BT258" s="43" t="e">
        <f>VLOOKUP(M258,#REF!,3,TRUE)*(BR258/1000000)</f>
        <v>#REF!</v>
      </c>
    </row>
    <row r="259" spans="1:72" s="93" customFormat="1" ht="15" customHeight="1" x14ac:dyDescent="0.25">
      <c r="A259" s="8">
        <v>36151</v>
      </c>
      <c r="B259" s="36">
        <v>1998</v>
      </c>
      <c r="C259" s="36" t="s">
        <v>1014</v>
      </c>
      <c r="D259" s="1" t="s">
        <v>1490</v>
      </c>
      <c r="E259" s="1" t="s">
        <v>1364</v>
      </c>
      <c r="F259" s="1" t="s">
        <v>46</v>
      </c>
      <c r="G259" s="38">
        <v>59901</v>
      </c>
      <c r="H259" s="39"/>
      <c r="I259" s="39"/>
      <c r="J259" s="1" t="s">
        <v>343</v>
      </c>
      <c r="K259" s="40">
        <v>0.09</v>
      </c>
      <c r="L259" s="36" t="s">
        <v>453</v>
      </c>
      <c r="M259" s="1" t="s">
        <v>1169</v>
      </c>
      <c r="N259" s="36" t="s">
        <v>443</v>
      </c>
      <c r="O259" s="41">
        <v>24</v>
      </c>
      <c r="P259" s="36">
        <v>1</v>
      </c>
      <c r="Q259" s="43">
        <v>442840</v>
      </c>
      <c r="R259" s="43"/>
      <c r="S259" s="43"/>
      <c r="T259" s="43"/>
      <c r="U259" s="53"/>
      <c r="V259" s="45"/>
      <c r="W259" s="8">
        <v>36298</v>
      </c>
      <c r="X259" s="8"/>
      <c r="Y259" s="8">
        <f t="shared" si="54"/>
        <v>36298</v>
      </c>
      <c r="Z259" s="46">
        <f t="shared" si="55"/>
        <v>41412</v>
      </c>
      <c r="AA259" s="4">
        <v>35</v>
      </c>
      <c r="AB259" s="46">
        <f t="shared" si="56"/>
        <v>54196</v>
      </c>
      <c r="AC259" s="1" t="s">
        <v>517</v>
      </c>
      <c r="AD259" s="1" t="s">
        <v>287</v>
      </c>
      <c r="AE259" s="1" t="s">
        <v>518</v>
      </c>
      <c r="AF259" s="1" t="s">
        <v>124</v>
      </c>
      <c r="AG259" s="1" t="s">
        <v>119</v>
      </c>
      <c r="AH259" s="36" t="s">
        <v>120</v>
      </c>
      <c r="AI259" s="47"/>
      <c r="AJ259" s="1" t="s">
        <v>464</v>
      </c>
      <c r="AK259" s="1"/>
      <c r="AL259" s="1"/>
      <c r="AM259" s="1"/>
      <c r="AN259" s="1"/>
      <c r="AO259" s="1"/>
      <c r="AP259" s="1"/>
      <c r="AQ259" s="1"/>
      <c r="AR259" s="1"/>
      <c r="AS259" s="1"/>
      <c r="AT259" s="56"/>
      <c r="AU259" s="36">
        <v>24</v>
      </c>
      <c r="AV259" s="1"/>
      <c r="AW259" s="1"/>
      <c r="AX259" s="1">
        <v>24</v>
      </c>
      <c r="AY259" s="1"/>
      <c r="AZ259" s="1"/>
      <c r="BA259" s="1"/>
      <c r="BB259" s="1"/>
      <c r="BC259" s="1"/>
      <c r="BD259" s="1"/>
      <c r="BE259" s="1"/>
      <c r="BF259" s="92"/>
      <c r="BG259" s="92"/>
      <c r="BH259" s="92"/>
      <c r="BI259" s="92"/>
      <c r="BJ259" s="92"/>
      <c r="BK259" s="92"/>
      <c r="BL259" s="92"/>
      <c r="BM259" s="92"/>
      <c r="BN259" s="92"/>
      <c r="BR259" s="52">
        <v>1323346</v>
      </c>
      <c r="BS259" s="52" t="e">
        <f>VLOOKUP(M259,#REF!,2,TRUE)*(BR259/1000000)</f>
        <v>#REF!</v>
      </c>
      <c r="BT259" s="43" t="e">
        <f>VLOOKUP(M259,#REF!,3,TRUE)*(BR259/1000000)</f>
        <v>#REF!</v>
      </c>
    </row>
    <row r="260" spans="1:72" ht="15" customHeight="1" x14ac:dyDescent="0.25">
      <c r="A260" s="8">
        <v>36151</v>
      </c>
      <c r="B260" s="36">
        <v>1998</v>
      </c>
      <c r="C260" s="36" t="s">
        <v>1014</v>
      </c>
      <c r="D260" s="1" t="s">
        <v>1489</v>
      </c>
      <c r="E260" s="1" t="s">
        <v>1363</v>
      </c>
      <c r="F260" s="1" t="s">
        <v>887</v>
      </c>
      <c r="G260" s="38">
        <v>59601</v>
      </c>
      <c r="J260" s="37" t="s">
        <v>913</v>
      </c>
      <c r="K260" s="40">
        <v>0.09</v>
      </c>
      <c r="L260" s="36" t="s">
        <v>426</v>
      </c>
      <c r="M260" s="1" t="s">
        <v>1169</v>
      </c>
      <c r="N260" s="36" t="s">
        <v>45</v>
      </c>
      <c r="O260" s="41">
        <v>16</v>
      </c>
      <c r="P260" s="36">
        <v>2</v>
      </c>
      <c r="Q260" s="43">
        <v>897100</v>
      </c>
      <c r="R260" s="43"/>
      <c r="S260" s="43"/>
      <c r="T260" s="43"/>
      <c r="W260" s="8">
        <v>36279</v>
      </c>
      <c r="Y260" s="8">
        <f t="shared" si="54"/>
        <v>36279</v>
      </c>
      <c r="Z260" s="46">
        <f t="shared" si="55"/>
        <v>41393</v>
      </c>
      <c r="AA260" s="4">
        <v>16</v>
      </c>
      <c r="AB260" s="46">
        <f t="shared" si="56"/>
        <v>47237</v>
      </c>
      <c r="AC260" s="1" t="s">
        <v>485</v>
      </c>
      <c r="AD260" s="1" t="s">
        <v>357</v>
      </c>
      <c r="AE260" s="1" t="s">
        <v>486</v>
      </c>
      <c r="AF260" s="1" t="s">
        <v>15</v>
      </c>
      <c r="AG260" s="1" t="s">
        <v>472</v>
      </c>
      <c r="AH260" s="36">
        <v>59601</v>
      </c>
      <c r="AI260" s="47"/>
      <c r="AJ260" s="1" t="s">
        <v>487</v>
      </c>
      <c r="AU260" s="36">
        <v>16</v>
      </c>
      <c r="AX260" s="1">
        <v>6</v>
      </c>
      <c r="AY260" s="1">
        <v>10</v>
      </c>
      <c r="BR260" s="52">
        <v>1252726</v>
      </c>
      <c r="BS260" s="52" t="e">
        <f>VLOOKUP(M260,#REF!,2,TRUE)*(BR260/1000000)</f>
        <v>#REF!</v>
      </c>
      <c r="BT260" s="43" t="e">
        <f>VLOOKUP(M260,#REF!,3,TRUE)*(BR260/1000000)</f>
        <v>#REF!</v>
      </c>
    </row>
    <row r="261" spans="1:72" ht="15" customHeight="1" x14ac:dyDescent="0.25">
      <c r="A261" s="8">
        <v>36151</v>
      </c>
      <c r="B261" s="36">
        <v>1998</v>
      </c>
      <c r="C261" s="36" t="s">
        <v>1014</v>
      </c>
      <c r="D261" s="1" t="s">
        <v>1488</v>
      </c>
      <c r="E261" s="1" t="s">
        <v>1362</v>
      </c>
      <c r="F261" s="1" t="s">
        <v>912</v>
      </c>
      <c r="G261" s="38">
        <v>59840</v>
      </c>
      <c r="J261" s="1" t="s">
        <v>356</v>
      </c>
      <c r="K261" s="40">
        <v>0.04</v>
      </c>
      <c r="L261" s="36" t="s">
        <v>426</v>
      </c>
      <c r="M261" s="1" t="s">
        <v>307</v>
      </c>
      <c r="N261" s="36" t="s">
        <v>443</v>
      </c>
      <c r="O261" s="41">
        <v>24</v>
      </c>
      <c r="P261" s="36">
        <v>1</v>
      </c>
      <c r="Q261" s="43">
        <v>292260</v>
      </c>
      <c r="R261" s="43"/>
      <c r="S261" s="43"/>
      <c r="T261" s="43"/>
      <c r="W261" s="8">
        <v>36831</v>
      </c>
      <c r="Y261" s="8">
        <f t="shared" si="54"/>
        <v>36831</v>
      </c>
      <c r="Z261" s="46">
        <f t="shared" si="55"/>
        <v>41944</v>
      </c>
      <c r="AA261" s="4">
        <v>36</v>
      </c>
      <c r="AB261" s="46">
        <f t="shared" si="56"/>
        <v>55093</v>
      </c>
      <c r="AC261" s="1" t="s">
        <v>161</v>
      </c>
      <c r="AD261" s="1" t="s">
        <v>162</v>
      </c>
      <c r="AE261" s="1" t="s">
        <v>116</v>
      </c>
      <c r="AF261" s="1" t="s">
        <v>20</v>
      </c>
      <c r="AG261" s="1" t="s">
        <v>472</v>
      </c>
      <c r="AH261" s="36">
        <v>59801</v>
      </c>
      <c r="AI261" s="47"/>
      <c r="AJ261" s="1" t="s">
        <v>465</v>
      </c>
      <c r="AU261" s="36">
        <v>24</v>
      </c>
      <c r="AX261" s="1">
        <v>6</v>
      </c>
      <c r="AY261" s="1">
        <v>17</v>
      </c>
      <c r="BR261" s="52">
        <v>853653</v>
      </c>
      <c r="BS261" s="52" t="e">
        <f>VLOOKUP(M261,#REF!,2,TRUE)*(BR261/1000000)</f>
        <v>#REF!</v>
      </c>
      <c r="BT261" s="43" t="e">
        <f>VLOOKUP(M261,#REF!,3,TRUE)*(BR261/1000000)</f>
        <v>#REF!</v>
      </c>
    </row>
    <row r="262" spans="1:72" s="93" customFormat="1" ht="15" customHeight="1" x14ac:dyDescent="0.25">
      <c r="A262" s="8">
        <v>36151</v>
      </c>
      <c r="B262" s="36">
        <v>1998</v>
      </c>
      <c r="C262" s="36" t="s">
        <v>1014</v>
      </c>
      <c r="D262" s="1" t="s">
        <v>1924</v>
      </c>
      <c r="E262" s="1" t="s">
        <v>1188</v>
      </c>
      <c r="F262" s="1" t="s">
        <v>60</v>
      </c>
      <c r="G262" s="38">
        <v>59701</v>
      </c>
      <c r="H262" s="39"/>
      <c r="I262" s="39"/>
      <c r="J262" s="1" t="s">
        <v>437</v>
      </c>
      <c r="K262" s="40">
        <v>0.09</v>
      </c>
      <c r="L262" s="36" t="s">
        <v>453</v>
      </c>
      <c r="M262" s="1" t="s">
        <v>1169</v>
      </c>
      <c r="N262" s="36" t="s">
        <v>45</v>
      </c>
      <c r="O262" s="41">
        <v>36</v>
      </c>
      <c r="P262" s="36">
        <v>6</v>
      </c>
      <c r="Q262" s="43">
        <v>1817830</v>
      </c>
      <c r="R262" s="43"/>
      <c r="S262" s="43"/>
      <c r="T262" s="43"/>
      <c r="U262" s="53"/>
      <c r="V262" s="45"/>
      <c r="W262" s="8">
        <v>36305</v>
      </c>
      <c r="X262" s="8"/>
      <c r="Y262" s="8">
        <f t="shared" si="54"/>
        <v>36305</v>
      </c>
      <c r="Z262" s="46">
        <f t="shared" si="55"/>
        <v>41419</v>
      </c>
      <c r="AA262" s="4">
        <v>25</v>
      </c>
      <c r="AB262" s="46">
        <f t="shared" si="56"/>
        <v>50550</v>
      </c>
      <c r="AC262" s="1" t="s">
        <v>595</v>
      </c>
      <c r="AD262" s="1" t="s">
        <v>596</v>
      </c>
      <c r="AE262" s="1" t="s">
        <v>598</v>
      </c>
      <c r="AF262" s="1" t="s">
        <v>149</v>
      </c>
      <c r="AG262" s="1" t="s">
        <v>475</v>
      </c>
      <c r="AH262" s="36">
        <v>92660</v>
      </c>
      <c r="AI262" s="47"/>
      <c r="AJ262" s="1" t="s">
        <v>599</v>
      </c>
      <c r="AK262" s="1"/>
      <c r="AL262" s="1"/>
      <c r="AM262" s="1"/>
      <c r="AN262" s="1"/>
      <c r="AO262" s="1"/>
      <c r="AP262" s="1"/>
      <c r="AQ262" s="1"/>
      <c r="AR262" s="1"/>
      <c r="AS262" s="1"/>
      <c r="AT262" s="56"/>
      <c r="AU262" s="36">
        <v>36</v>
      </c>
      <c r="AV262" s="1"/>
      <c r="AW262" s="1"/>
      <c r="AX262" s="1"/>
      <c r="AY262" s="1">
        <v>27</v>
      </c>
      <c r="AZ262" s="1">
        <v>8</v>
      </c>
      <c r="BA262" s="1"/>
      <c r="BB262" s="1"/>
      <c r="BC262" s="1"/>
      <c r="BD262" s="1"/>
      <c r="BE262" s="1"/>
      <c r="BF262" s="92"/>
      <c r="BG262" s="92"/>
      <c r="BH262" s="92"/>
      <c r="BI262" s="92"/>
      <c r="BJ262" s="92"/>
      <c r="BK262" s="92"/>
      <c r="BL262" s="92"/>
      <c r="BM262" s="92"/>
      <c r="BN262" s="92"/>
      <c r="BR262" s="52">
        <v>2505046</v>
      </c>
      <c r="BS262" s="52" t="e">
        <f>VLOOKUP(M262,#REF!,2,TRUE)*(BR262/1000000)</f>
        <v>#REF!</v>
      </c>
      <c r="BT262" s="43" t="e">
        <f>VLOOKUP(M262,#REF!,3,TRUE)*(BR262/1000000)</f>
        <v>#REF!</v>
      </c>
    </row>
    <row r="263" spans="1:72" ht="15" customHeight="1" x14ac:dyDescent="0.25">
      <c r="A263" s="8">
        <v>36151</v>
      </c>
      <c r="B263" s="36">
        <v>1998</v>
      </c>
      <c r="C263" s="36" t="s">
        <v>1014</v>
      </c>
      <c r="D263" s="1" t="s">
        <v>1838</v>
      </c>
      <c r="E263" s="1" t="s">
        <v>1361</v>
      </c>
      <c r="F263" s="1" t="s">
        <v>195</v>
      </c>
      <c r="G263" s="38">
        <v>59715</v>
      </c>
      <c r="J263" s="1" t="s">
        <v>314</v>
      </c>
      <c r="K263" s="40">
        <v>0.09</v>
      </c>
      <c r="L263" s="36" t="s">
        <v>453</v>
      </c>
      <c r="M263" s="1" t="s">
        <v>1169</v>
      </c>
      <c r="N263" s="36" t="s">
        <v>45</v>
      </c>
      <c r="O263" s="41">
        <v>34</v>
      </c>
      <c r="P263" s="36">
        <v>5</v>
      </c>
      <c r="Q263" s="43">
        <v>2411180</v>
      </c>
      <c r="R263" s="43"/>
      <c r="S263" s="43"/>
      <c r="T263" s="43"/>
      <c r="W263" s="8">
        <v>36329</v>
      </c>
      <c r="Y263" s="8">
        <f t="shared" si="54"/>
        <v>36329</v>
      </c>
      <c r="Z263" s="46">
        <f t="shared" si="55"/>
        <v>41443</v>
      </c>
      <c r="AA263" s="4">
        <v>16</v>
      </c>
      <c r="AB263" s="46">
        <f t="shared" si="56"/>
        <v>47287</v>
      </c>
      <c r="AC263" s="1" t="s">
        <v>283</v>
      </c>
      <c r="AD263" s="1" t="s">
        <v>605</v>
      </c>
      <c r="AE263" s="1" t="s">
        <v>331</v>
      </c>
      <c r="AF263" s="1" t="s">
        <v>479</v>
      </c>
      <c r="AG263" s="1" t="s">
        <v>472</v>
      </c>
      <c r="AH263" s="36">
        <v>59718</v>
      </c>
      <c r="AI263" s="47"/>
      <c r="AJ263" s="1" t="s">
        <v>462</v>
      </c>
      <c r="AU263" s="36">
        <v>34</v>
      </c>
      <c r="AX263" s="1">
        <v>24</v>
      </c>
      <c r="AZ263" s="1">
        <v>8</v>
      </c>
      <c r="BA263" s="1">
        <v>2</v>
      </c>
      <c r="BR263" s="52">
        <v>2564846</v>
      </c>
      <c r="BS263" s="52" t="e">
        <f>VLOOKUP(M263,#REF!,2,TRUE)*(BR263/1000000)</f>
        <v>#REF!</v>
      </c>
      <c r="BT263" s="43" t="e">
        <f>VLOOKUP(M263,#REF!,3,TRUE)*(BR263/1000000)</f>
        <v>#REF!</v>
      </c>
    </row>
    <row r="264" spans="1:72" s="93" customFormat="1" ht="15" customHeight="1" x14ac:dyDescent="0.25">
      <c r="A264" s="9">
        <v>36151</v>
      </c>
      <c r="B264" s="92">
        <v>1998</v>
      </c>
      <c r="C264" s="92" t="s">
        <v>1930</v>
      </c>
      <c r="D264" s="93" t="s">
        <v>1891</v>
      </c>
      <c r="E264" s="93" t="s">
        <v>1360</v>
      </c>
      <c r="F264" s="93" t="s">
        <v>195</v>
      </c>
      <c r="G264" s="95">
        <v>59715</v>
      </c>
      <c r="H264" s="114"/>
      <c r="I264" s="114"/>
      <c r="J264" s="93" t="s">
        <v>314</v>
      </c>
      <c r="K264" s="97">
        <v>0.09</v>
      </c>
      <c r="L264" s="92" t="s">
        <v>453</v>
      </c>
      <c r="M264" s="93" t="s">
        <v>1169</v>
      </c>
      <c r="N264" s="92" t="s">
        <v>45</v>
      </c>
      <c r="O264" s="98">
        <v>36</v>
      </c>
      <c r="P264" s="92">
        <v>6</v>
      </c>
      <c r="Q264" s="102">
        <v>2363170</v>
      </c>
      <c r="R264" s="102"/>
      <c r="S264" s="102"/>
      <c r="T264" s="102"/>
      <c r="U264" s="100"/>
      <c r="V264" s="101"/>
      <c r="W264" s="9">
        <v>36539</v>
      </c>
      <c r="X264" s="9"/>
      <c r="Y264" s="8">
        <f t="shared" si="54"/>
        <v>36539</v>
      </c>
      <c r="Z264" s="46">
        <f t="shared" si="55"/>
        <v>41653</v>
      </c>
      <c r="AA264" s="5">
        <v>25</v>
      </c>
      <c r="AB264" s="140">
        <f t="shared" ref="AB264:AB275" si="58">DATE(YEAR(Z264)+AA264,MONTH(Z264),DAY(Z264))</f>
        <v>50784</v>
      </c>
      <c r="AC264" s="93" t="s">
        <v>618</v>
      </c>
      <c r="AD264" s="93" t="s">
        <v>619</v>
      </c>
      <c r="AE264" s="93" t="s">
        <v>598</v>
      </c>
      <c r="AF264" s="93" t="s">
        <v>149</v>
      </c>
      <c r="AG264" s="93" t="s">
        <v>475</v>
      </c>
      <c r="AH264" s="92">
        <v>92660</v>
      </c>
      <c r="AI264" s="47"/>
      <c r="AJ264" s="93" t="s">
        <v>620</v>
      </c>
      <c r="AT264" s="103"/>
      <c r="AU264" s="92">
        <v>36</v>
      </c>
      <c r="AY264" s="93">
        <v>27</v>
      </c>
      <c r="AZ264" s="93">
        <v>8</v>
      </c>
      <c r="BE264" s="93">
        <v>1</v>
      </c>
      <c r="BF264" s="92"/>
      <c r="BG264" s="92"/>
      <c r="BH264" s="92"/>
      <c r="BI264" s="92"/>
      <c r="BJ264" s="92"/>
      <c r="BK264" s="92"/>
      <c r="BL264" s="92"/>
      <c r="BM264" s="92"/>
      <c r="BN264" s="92"/>
      <c r="BR264" s="52">
        <v>2486154</v>
      </c>
      <c r="BS264" s="52" t="e">
        <f>VLOOKUP(M264,#REF!,2,TRUE)*(BR264/1000000)</f>
        <v>#REF!</v>
      </c>
      <c r="BT264" s="43" t="e">
        <f>VLOOKUP(M264,#REF!,3,TRUE)*(BR264/1000000)</f>
        <v>#REF!</v>
      </c>
    </row>
    <row r="265" spans="1:72" ht="15" customHeight="1" x14ac:dyDescent="0.25">
      <c r="A265" s="8">
        <v>36151</v>
      </c>
      <c r="B265" s="36">
        <v>1998</v>
      </c>
      <c r="C265" s="36" t="s">
        <v>1014</v>
      </c>
      <c r="D265" s="1" t="s">
        <v>1487</v>
      </c>
      <c r="E265" s="1" t="s">
        <v>1359</v>
      </c>
      <c r="F265" s="1" t="s">
        <v>192</v>
      </c>
      <c r="G265" s="38">
        <v>59101</v>
      </c>
      <c r="J265" s="1" t="s">
        <v>300</v>
      </c>
      <c r="K265" s="40">
        <v>0.09</v>
      </c>
      <c r="L265" s="36" t="s">
        <v>453</v>
      </c>
      <c r="M265" s="1" t="s">
        <v>1169</v>
      </c>
      <c r="N265" s="36" t="s">
        <v>45</v>
      </c>
      <c r="O265" s="41">
        <v>2</v>
      </c>
      <c r="P265" s="36">
        <v>1</v>
      </c>
      <c r="Q265" s="43">
        <v>134720</v>
      </c>
      <c r="R265" s="43"/>
      <c r="S265" s="43"/>
      <c r="T265" s="43"/>
      <c r="W265" s="8">
        <v>36076</v>
      </c>
      <c r="Y265" s="8">
        <f t="shared" si="54"/>
        <v>36076</v>
      </c>
      <c r="Z265" s="46">
        <f t="shared" si="55"/>
        <v>41190</v>
      </c>
      <c r="AA265" s="4">
        <v>15</v>
      </c>
      <c r="AB265" s="46">
        <f t="shared" si="58"/>
        <v>46668</v>
      </c>
      <c r="AC265" s="1" t="s">
        <v>101</v>
      </c>
      <c r="AE265" s="1" t="s">
        <v>115</v>
      </c>
      <c r="AF265" s="1" t="s">
        <v>17</v>
      </c>
      <c r="AG265" s="1" t="s">
        <v>472</v>
      </c>
      <c r="AH265" s="36">
        <v>59103</v>
      </c>
      <c r="AI265" s="47"/>
      <c r="AJ265" s="1" t="s">
        <v>463</v>
      </c>
      <c r="AU265" s="36">
        <v>2</v>
      </c>
      <c r="AZ265" s="1">
        <v>2</v>
      </c>
      <c r="BR265" s="52">
        <v>167880</v>
      </c>
      <c r="BS265" s="52" t="e">
        <f>VLOOKUP(M265,#REF!,2,TRUE)*(BR265/1000000)</f>
        <v>#REF!</v>
      </c>
      <c r="BT265" s="43" t="e">
        <f>VLOOKUP(M265,#REF!,3,TRUE)*(BR265/1000000)</f>
        <v>#REF!</v>
      </c>
    </row>
    <row r="266" spans="1:72" s="126" customFormat="1" ht="15" customHeight="1" x14ac:dyDescent="0.25">
      <c r="A266" s="124">
        <v>36151</v>
      </c>
      <c r="B266" s="125">
        <v>1998</v>
      </c>
      <c r="C266" s="92" t="s">
        <v>1452</v>
      </c>
      <c r="D266" s="126" t="s">
        <v>1923</v>
      </c>
      <c r="E266" s="126" t="s">
        <v>1358</v>
      </c>
      <c r="F266" s="126" t="s">
        <v>195</v>
      </c>
      <c r="G266" s="127">
        <v>59715</v>
      </c>
      <c r="H266" s="128"/>
      <c r="I266" s="128"/>
      <c r="J266" s="126" t="s">
        <v>314</v>
      </c>
      <c r="K266" s="129">
        <v>0.09</v>
      </c>
      <c r="L266" s="125" t="s">
        <v>453</v>
      </c>
      <c r="M266" s="126" t="s">
        <v>1169</v>
      </c>
      <c r="N266" s="125" t="s">
        <v>45</v>
      </c>
      <c r="O266" s="130">
        <v>48</v>
      </c>
      <c r="P266" s="125">
        <v>11</v>
      </c>
      <c r="Q266" s="134">
        <v>3738160</v>
      </c>
      <c r="R266" s="134"/>
      <c r="S266" s="134"/>
      <c r="T266" s="134"/>
      <c r="U266" s="132"/>
      <c r="V266" s="133"/>
      <c r="W266" s="124">
        <v>36770</v>
      </c>
      <c r="X266" s="124"/>
      <c r="Y266" s="8">
        <f t="shared" si="54"/>
        <v>36770</v>
      </c>
      <c r="Z266" s="46">
        <f t="shared" si="55"/>
        <v>41883</v>
      </c>
      <c r="AA266" s="136">
        <v>15</v>
      </c>
      <c r="AB266" s="135">
        <f t="shared" si="58"/>
        <v>47362</v>
      </c>
      <c r="AC266" s="126" t="s">
        <v>461</v>
      </c>
      <c r="AD266" s="126" t="s">
        <v>287</v>
      </c>
      <c r="AE266" s="126" t="s">
        <v>518</v>
      </c>
      <c r="AF266" s="126" t="s">
        <v>124</v>
      </c>
      <c r="AG266" s="126" t="s">
        <v>119</v>
      </c>
      <c r="AH266" s="125">
        <v>54601</v>
      </c>
      <c r="AI266" s="47"/>
      <c r="AJ266" s="126" t="s">
        <v>464</v>
      </c>
      <c r="AT266" s="138"/>
      <c r="AU266" s="125">
        <v>48</v>
      </c>
      <c r="AX266" s="126">
        <v>12</v>
      </c>
      <c r="AY266" s="126">
        <v>18</v>
      </c>
      <c r="AZ266" s="126">
        <v>18</v>
      </c>
      <c r="BF266" s="125"/>
      <c r="BG266" s="125"/>
      <c r="BH266" s="125"/>
      <c r="BI266" s="125"/>
      <c r="BJ266" s="125"/>
      <c r="BK266" s="125"/>
      <c r="BL266" s="125"/>
      <c r="BM266" s="125"/>
      <c r="BN266" s="125"/>
      <c r="BR266" s="52">
        <v>3992687</v>
      </c>
      <c r="BS266" s="52" t="e">
        <f>VLOOKUP(M266,#REF!,2,TRUE)*(BR266/1000000)</f>
        <v>#REF!</v>
      </c>
      <c r="BT266" s="43" t="e">
        <f>VLOOKUP(M266,#REF!,3,TRUE)*(BR266/1000000)</f>
        <v>#REF!</v>
      </c>
    </row>
    <row r="267" spans="1:72" s="71" customFormat="1" ht="15" customHeight="1" x14ac:dyDescent="0.25">
      <c r="A267" s="8">
        <v>36151</v>
      </c>
      <c r="B267" s="36">
        <v>1998</v>
      </c>
      <c r="C267" s="36" t="s">
        <v>1014</v>
      </c>
      <c r="D267" s="1" t="s">
        <v>1897</v>
      </c>
      <c r="E267" s="1" t="s">
        <v>1354</v>
      </c>
      <c r="F267" s="1" t="s">
        <v>1034</v>
      </c>
      <c r="G267" s="38">
        <v>59716</v>
      </c>
      <c r="H267" s="39"/>
      <c r="I267" s="39"/>
      <c r="J267" s="1" t="s">
        <v>435</v>
      </c>
      <c r="K267" s="40">
        <v>0.09</v>
      </c>
      <c r="L267" s="36" t="s">
        <v>453</v>
      </c>
      <c r="M267" s="1" t="s">
        <v>1169</v>
      </c>
      <c r="N267" s="36" t="s">
        <v>45</v>
      </c>
      <c r="O267" s="41">
        <v>24</v>
      </c>
      <c r="P267" s="36">
        <v>1</v>
      </c>
      <c r="Q267" s="43">
        <v>993190</v>
      </c>
      <c r="R267" s="43"/>
      <c r="S267" s="43"/>
      <c r="T267" s="43"/>
      <c r="U267" s="53"/>
      <c r="V267" s="45"/>
      <c r="W267" s="8">
        <v>36159</v>
      </c>
      <c r="X267" s="8"/>
      <c r="Y267" s="8">
        <f t="shared" si="54"/>
        <v>36159</v>
      </c>
      <c r="Z267" s="46">
        <f t="shared" si="55"/>
        <v>41273</v>
      </c>
      <c r="AA267" s="4">
        <v>16</v>
      </c>
      <c r="AB267" s="46">
        <f t="shared" si="58"/>
        <v>47117</v>
      </c>
      <c r="AC267" s="1" t="s">
        <v>604</v>
      </c>
      <c r="AD267" s="1" t="s">
        <v>605</v>
      </c>
      <c r="AE267" s="1" t="s">
        <v>509</v>
      </c>
      <c r="AF267" s="1" t="s">
        <v>479</v>
      </c>
      <c r="AG267" s="1" t="s">
        <v>472</v>
      </c>
      <c r="AH267" s="36">
        <v>59718</v>
      </c>
      <c r="AI267" s="47"/>
      <c r="AJ267" s="1" t="s">
        <v>462</v>
      </c>
      <c r="AK267" s="1"/>
      <c r="AL267" s="1"/>
      <c r="AM267" s="1"/>
      <c r="AN267" s="1"/>
      <c r="AO267" s="1"/>
      <c r="AP267" s="1"/>
      <c r="AQ267" s="1"/>
      <c r="AR267" s="1"/>
      <c r="AS267" s="1"/>
      <c r="AT267" s="56"/>
      <c r="AU267" s="36">
        <v>24</v>
      </c>
      <c r="AV267" s="1">
        <v>24</v>
      </c>
      <c r="AW267" s="1"/>
      <c r="AX267" s="1"/>
      <c r="AY267" s="1"/>
      <c r="AZ267" s="1"/>
      <c r="BA267" s="1"/>
      <c r="BB267" s="1"/>
      <c r="BC267" s="1"/>
      <c r="BD267" s="1"/>
      <c r="BE267" s="1"/>
      <c r="BF267" s="11"/>
      <c r="BG267" s="11"/>
      <c r="BH267" s="11"/>
      <c r="BI267" s="11"/>
      <c r="BJ267" s="11"/>
      <c r="BK267" s="11"/>
      <c r="BL267" s="11"/>
      <c r="BM267" s="11"/>
      <c r="BN267" s="11"/>
      <c r="BR267" s="52">
        <v>1139609</v>
      </c>
      <c r="BS267" s="52" t="e">
        <f>VLOOKUP(M267,#REF!,2,TRUE)*(BR267/1000000)</f>
        <v>#REF!</v>
      </c>
      <c r="BT267" s="43" t="e">
        <f>VLOOKUP(M267,#REF!,3,TRUE)*(BR267/1000000)</f>
        <v>#REF!</v>
      </c>
    </row>
    <row r="268" spans="1:72" s="93" customFormat="1" ht="15" customHeight="1" x14ac:dyDescent="0.25">
      <c r="A268" s="8">
        <v>35717</v>
      </c>
      <c r="B268" s="36">
        <v>1997</v>
      </c>
      <c r="C268" s="36" t="s">
        <v>1014</v>
      </c>
      <c r="D268" s="1" t="s">
        <v>1486</v>
      </c>
      <c r="E268" s="1" t="s">
        <v>1357</v>
      </c>
      <c r="F268" s="1" t="s">
        <v>65</v>
      </c>
      <c r="G268" s="38">
        <v>59405</v>
      </c>
      <c r="H268" s="39"/>
      <c r="I268" s="39"/>
      <c r="J268" s="1" t="s">
        <v>308</v>
      </c>
      <c r="K268" s="40">
        <v>0.04</v>
      </c>
      <c r="L268" s="36" t="s">
        <v>453</v>
      </c>
      <c r="M268" s="1" t="s">
        <v>1169</v>
      </c>
      <c r="N268" s="36" t="s">
        <v>45</v>
      </c>
      <c r="O268" s="41">
        <v>121</v>
      </c>
      <c r="P268" s="36">
        <v>10</v>
      </c>
      <c r="Q268" s="43">
        <v>2691170</v>
      </c>
      <c r="R268" s="43"/>
      <c r="S268" s="43"/>
      <c r="T268" s="43"/>
      <c r="U268" s="53"/>
      <c r="V268" s="45"/>
      <c r="W268" s="8">
        <v>36084</v>
      </c>
      <c r="X268" s="8"/>
      <c r="Y268" s="8">
        <f t="shared" si="54"/>
        <v>36084</v>
      </c>
      <c r="Z268" s="46">
        <f t="shared" si="55"/>
        <v>41198</v>
      </c>
      <c r="AA268" s="4">
        <v>15</v>
      </c>
      <c r="AB268" s="46">
        <f t="shared" si="58"/>
        <v>46676</v>
      </c>
      <c r="AC268" s="1" t="s">
        <v>514</v>
      </c>
      <c r="AD268" s="1" t="s">
        <v>109</v>
      </c>
      <c r="AE268" s="1" t="s">
        <v>600</v>
      </c>
      <c r="AF268" s="1" t="s">
        <v>122</v>
      </c>
      <c r="AG268" s="1" t="s">
        <v>474</v>
      </c>
      <c r="AH268" s="36">
        <v>98004</v>
      </c>
      <c r="AI268" s="47"/>
      <c r="AJ268" s="1" t="s">
        <v>515</v>
      </c>
      <c r="AK268" s="1"/>
      <c r="AL268" s="1"/>
      <c r="AM268" s="1"/>
      <c r="AN268" s="1"/>
      <c r="AO268" s="1"/>
      <c r="AP268" s="1"/>
      <c r="AQ268" s="1"/>
      <c r="AR268" s="1"/>
      <c r="AS268" s="1"/>
      <c r="AT268" s="56"/>
      <c r="AU268" s="36">
        <v>121</v>
      </c>
      <c r="AV268" s="1"/>
      <c r="AW268" s="1"/>
      <c r="AX268" s="1">
        <v>30</v>
      </c>
      <c r="AY268" s="1">
        <v>80</v>
      </c>
      <c r="AZ268" s="1">
        <v>11</v>
      </c>
      <c r="BA268" s="1"/>
      <c r="BB268" s="1"/>
      <c r="BC268" s="1"/>
      <c r="BD268" s="1"/>
      <c r="BE268" s="1">
        <v>1</v>
      </c>
      <c r="BF268" s="92"/>
      <c r="BG268" s="92"/>
      <c r="BH268" s="92"/>
      <c r="BI268" s="92"/>
      <c r="BJ268" s="92"/>
      <c r="BK268" s="92"/>
      <c r="BL268" s="92"/>
      <c r="BM268" s="92"/>
      <c r="BN268" s="92"/>
      <c r="BR268" s="52">
        <v>7515000</v>
      </c>
      <c r="BS268" s="52" t="e">
        <f>VLOOKUP(M268,#REF!,2,TRUE)*(BR268/1000000)</f>
        <v>#REF!</v>
      </c>
      <c r="BT268" s="43" t="e">
        <f>VLOOKUP(M268,#REF!,3,TRUE)*(BR268/1000000)</f>
        <v>#REF!</v>
      </c>
    </row>
    <row r="269" spans="1:72" ht="15" customHeight="1" x14ac:dyDescent="0.25">
      <c r="A269" s="8">
        <v>35699</v>
      </c>
      <c r="B269" s="36">
        <v>1997</v>
      </c>
      <c r="C269" s="36" t="s">
        <v>1014</v>
      </c>
      <c r="D269" s="1" t="s">
        <v>1485</v>
      </c>
      <c r="E269" s="1" t="s">
        <v>1356</v>
      </c>
      <c r="F269" s="1" t="s">
        <v>910</v>
      </c>
      <c r="G269" s="38">
        <v>59714</v>
      </c>
      <c r="J269" s="1" t="s">
        <v>314</v>
      </c>
      <c r="K269" s="40">
        <v>0.09</v>
      </c>
      <c r="L269" s="36" t="s">
        <v>453</v>
      </c>
      <c r="M269" s="1" t="s">
        <v>1169</v>
      </c>
      <c r="N269" s="36" t="s">
        <v>45</v>
      </c>
      <c r="O269" s="36">
        <v>24</v>
      </c>
      <c r="P269" s="36">
        <v>1</v>
      </c>
      <c r="Q269" s="43">
        <v>475270</v>
      </c>
      <c r="R269" s="43"/>
      <c r="S269" s="43"/>
      <c r="T269" s="43"/>
      <c r="W269" s="8">
        <v>36014</v>
      </c>
      <c r="Y269" s="8">
        <f t="shared" si="54"/>
        <v>36014</v>
      </c>
      <c r="Z269" s="46">
        <f t="shared" si="55"/>
        <v>41128</v>
      </c>
      <c r="AA269" s="4">
        <v>16</v>
      </c>
      <c r="AB269" s="46">
        <f t="shared" si="58"/>
        <v>46972</v>
      </c>
      <c r="AC269" s="1" t="s">
        <v>553</v>
      </c>
      <c r="AD269" s="1" t="s">
        <v>554</v>
      </c>
      <c r="AE269" s="1" t="s">
        <v>166</v>
      </c>
      <c r="AF269" s="1" t="s">
        <v>124</v>
      </c>
      <c r="AG269" s="1" t="s">
        <v>119</v>
      </c>
      <c r="AH269" s="36">
        <v>54602</v>
      </c>
      <c r="AI269" s="47"/>
      <c r="AJ269" s="1" t="s">
        <v>421</v>
      </c>
      <c r="AU269" s="36">
        <f>SUM(AV269:BD269)</f>
        <v>24</v>
      </c>
      <c r="AX269" s="1">
        <v>24</v>
      </c>
      <c r="BR269" s="52">
        <v>1340674</v>
      </c>
      <c r="BS269" s="52" t="e">
        <f>VLOOKUP(M269,#REF!,2,TRUE)*(BR269/1000000)</f>
        <v>#REF!</v>
      </c>
      <c r="BT269" s="43" t="e">
        <f>VLOOKUP(M269,#REF!,3,TRUE)*(BR269/1000000)</f>
        <v>#REF!</v>
      </c>
    </row>
    <row r="270" spans="1:72" ht="15" customHeight="1" x14ac:dyDescent="0.25">
      <c r="A270" s="8">
        <v>35699</v>
      </c>
      <c r="B270" s="36">
        <v>1997</v>
      </c>
      <c r="C270" s="36" t="s">
        <v>1014</v>
      </c>
      <c r="D270" s="1" t="s">
        <v>1484</v>
      </c>
      <c r="E270" s="1" t="s">
        <v>1355</v>
      </c>
      <c r="F270" s="1" t="s">
        <v>338</v>
      </c>
      <c r="G270" s="38">
        <v>59802</v>
      </c>
      <c r="J270" s="1" t="s">
        <v>338</v>
      </c>
      <c r="K270" s="40">
        <v>0.09</v>
      </c>
      <c r="L270" s="36" t="s">
        <v>440</v>
      </c>
      <c r="M270" s="1" t="s">
        <v>1169</v>
      </c>
      <c r="N270" s="36" t="s">
        <v>45</v>
      </c>
      <c r="O270" s="41">
        <v>12</v>
      </c>
      <c r="P270" s="36">
        <v>5</v>
      </c>
      <c r="Q270" s="43">
        <v>884300</v>
      </c>
      <c r="R270" s="43"/>
      <c r="S270" s="43"/>
      <c r="T270" s="43"/>
      <c r="W270" s="8">
        <v>36129</v>
      </c>
      <c r="Y270" s="8">
        <f t="shared" si="54"/>
        <v>36129</v>
      </c>
      <c r="Z270" s="46">
        <f t="shared" si="55"/>
        <v>41243</v>
      </c>
      <c r="AA270" s="4">
        <v>15</v>
      </c>
      <c r="AB270" s="46">
        <f t="shared" si="58"/>
        <v>46721</v>
      </c>
      <c r="AC270" s="1" t="s">
        <v>146</v>
      </c>
      <c r="AD270" s="1" t="s">
        <v>661</v>
      </c>
      <c r="AE270" s="1" t="s">
        <v>278</v>
      </c>
      <c r="AF270" s="1" t="s">
        <v>20</v>
      </c>
      <c r="AG270" s="1" t="s">
        <v>472</v>
      </c>
      <c r="AH270" s="36">
        <v>59802</v>
      </c>
      <c r="AI270" s="47"/>
      <c r="AJ270" s="1" t="s">
        <v>165</v>
      </c>
      <c r="AU270" s="36">
        <v>12</v>
      </c>
      <c r="AY270" s="1">
        <v>3</v>
      </c>
      <c r="AZ270" s="1">
        <v>9</v>
      </c>
      <c r="BR270" s="52">
        <v>1186492</v>
      </c>
      <c r="BS270" s="52" t="e">
        <f>VLOOKUP(M270,#REF!,2,TRUE)*(BR270/1000000)</f>
        <v>#REF!</v>
      </c>
      <c r="BT270" s="43" t="e">
        <f>VLOOKUP(M270,#REF!,3,TRUE)*(BR270/1000000)</f>
        <v>#REF!</v>
      </c>
    </row>
    <row r="271" spans="1:72" ht="15" customHeight="1" x14ac:dyDescent="0.25">
      <c r="A271" s="8">
        <v>35591</v>
      </c>
      <c r="B271" s="36">
        <v>1997</v>
      </c>
      <c r="C271" s="36" t="s">
        <v>1014</v>
      </c>
      <c r="D271" s="1" t="s">
        <v>1922</v>
      </c>
      <c r="E271" s="1" t="s">
        <v>1354</v>
      </c>
      <c r="F271" s="1" t="s">
        <v>1034</v>
      </c>
      <c r="G271" s="38">
        <v>59716</v>
      </c>
      <c r="J271" s="1" t="s">
        <v>435</v>
      </c>
      <c r="K271" s="40">
        <v>0.09</v>
      </c>
      <c r="L271" s="36" t="s">
        <v>453</v>
      </c>
      <c r="M271" s="1" t="s">
        <v>1169</v>
      </c>
      <c r="N271" s="36" t="s">
        <v>45</v>
      </c>
      <c r="O271" s="41">
        <v>24</v>
      </c>
      <c r="P271" s="36">
        <v>2</v>
      </c>
      <c r="Q271" s="43">
        <v>1064300</v>
      </c>
      <c r="R271" s="43"/>
      <c r="S271" s="43"/>
      <c r="T271" s="43"/>
      <c r="W271" s="8">
        <v>35898</v>
      </c>
      <c r="Y271" s="8">
        <f t="shared" si="54"/>
        <v>35898</v>
      </c>
      <c r="Z271" s="46">
        <f t="shared" si="55"/>
        <v>41012</v>
      </c>
      <c r="AA271" s="4">
        <v>16</v>
      </c>
      <c r="AB271" s="46">
        <f t="shared" si="58"/>
        <v>46856</v>
      </c>
      <c r="AC271" s="1" t="s">
        <v>604</v>
      </c>
      <c r="AD271" s="1" t="s">
        <v>603</v>
      </c>
      <c r="AE271" s="1" t="s">
        <v>331</v>
      </c>
      <c r="AF271" s="1" t="s">
        <v>479</v>
      </c>
      <c r="AG271" s="1" t="s">
        <v>472</v>
      </c>
      <c r="AH271" s="36">
        <v>59718</v>
      </c>
      <c r="AI271" s="47"/>
      <c r="AJ271" s="1" t="s">
        <v>436</v>
      </c>
      <c r="AU271" s="36">
        <v>24</v>
      </c>
      <c r="AX271" s="1">
        <v>24</v>
      </c>
      <c r="BR271" s="52">
        <v>1420178</v>
      </c>
      <c r="BS271" s="52" t="e">
        <f>VLOOKUP(M271,#REF!,2,TRUE)*(BR271/1000000)</f>
        <v>#REF!</v>
      </c>
      <c r="BT271" s="43" t="e">
        <f>VLOOKUP(M271,#REF!,3,TRUE)*(BR271/1000000)</f>
        <v>#REF!</v>
      </c>
    </row>
    <row r="272" spans="1:72" ht="15" customHeight="1" x14ac:dyDescent="0.25">
      <c r="A272" s="8">
        <v>35541</v>
      </c>
      <c r="B272" s="36">
        <v>1997</v>
      </c>
      <c r="C272" s="36" t="s">
        <v>1014</v>
      </c>
      <c r="D272" s="1" t="s">
        <v>1483</v>
      </c>
      <c r="E272" s="1" t="s">
        <v>1353</v>
      </c>
      <c r="F272" s="1" t="s">
        <v>912</v>
      </c>
      <c r="G272" s="38">
        <v>59840</v>
      </c>
      <c r="J272" s="1" t="s">
        <v>356</v>
      </c>
      <c r="K272" s="40">
        <v>0.09</v>
      </c>
      <c r="L272" s="36" t="s">
        <v>453</v>
      </c>
      <c r="M272" s="1" t="s">
        <v>1169</v>
      </c>
      <c r="N272" s="36" t="s">
        <v>443</v>
      </c>
      <c r="O272" s="36">
        <v>48</v>
      </c>
      <c r="P272" s="36">
        <v>1</v>
      </c>
      <c r="Q272" s="43">
        <v>2500800</v>
      </c>
      <c r="R272" s="43"/>
      <c r="S272" s="43"/>
      <c r="T272" s="43"/>
      <c r="W272" s="8">
        <v>35941</v>
      </c>
      <c r="Y272" s="8">
        <f t="shared" si="54"/>
        <v>35941</v>
      </c>
      <c r="Z272" s="46">
        <f t="shared" si="55"/>
        <v>41055</v>
      </c>
      <c r="AA272" s="4">
        <v>31</v>
      </c>
      <c r="AB272" s="46">
        <f t="shared" si="58"/>
        <v>52377</v>
      </c>
      <c r="AC272" s="1" t="s">
        <v>294</v>
      </c>
      <c r="AD272" s="1" t="s">
        <v>288</v>
      </c>
      <c r="AE272" s="1" t="s">
        <v>43</v>
      </c>
      <c r="AF272" s="1" t="s">
        <v>20</v>
      </c>
      <c r="AG272" s="1" t="s">
        <v>472</v>
      </c>
      <c r="AH272" s="36">
        <v>59803</v>
      </c>
      <c r="AI272" s="47"/>
      <c r="AJ272" s="1" t="s">
        <v>75</v>
      </c>
      <c r="AU272" s="36">
        <v>48</v>
      </c>
      <c r="AX272" s="1">
        <v>42</v>
      </c>
      <c r="AY272" s="1">
        <v>6</v>
      </c>
      <c r="BR272" s="52">
        <v>3027338</v>
      </c>
      <c r="BS272" s="52" t="e">
        <f>VLOOKUP(M272,#REF!,2,TRUE)*(BR272/1000000)</f>
        <v>#REF!</v>
      </c>
      <c r="BT272" s="43" t="e">
        <f>VLOOKUP(M272,#REF!,3,TRUE)*(BR272/1000000)</f>
        <v>#REF!</v>
      </c>
    </row>
    <row r="273" spans="1:72" s="93" customFormat="1" ht="15" customHeight="1" x14ac:dyDescent="0.25">
      <c r="A273" s="9">
        <v>35541</v>
      </c>
      <c r="B273" s="92">
        <v>1997</v>
      </c>
      <c r="C273" s="92" t="s">
        <v>1014</v>
      </c>
      <c r="D273" s="93" t="s">
        <v>1852</v>
      </c>
      <c r="E273" s="93" t="s">
        <v>1352</v>
      </c>
      <c r="F273" s="93" t="s">
        <v>912</v>
      </c>
      <c r="G273" s="95">
        <v>59840</v>
      </c>
      <c r="H273" s="114"/>
      <c r="I273" s="114"/>
      <c r="J273" s="93" t="s">
        <v>356</v>
      </c>
      <c r="K273" s="97">
        <v>0.09</v>
      </c>
      <c r="L273" s="92" t="s">
        <v>453</v>
      </c>
      <c r="M273" s="93" t="s">
        <v>1169</v>
      </c>
      <c r="N273" s="92" t="s">
        <v>45</v>
      </c>
      <c r="O273" s="92">
        <v>10</v>
      </c>
      <c r="P273" s="92"/>
      <c r="Q273" s="102">
        <v>175000</v>
      </c>
      <c r="R273" s="102"/>
      <c r="S273" s="102"/>
      <c r="T273" s="102"/>
      <c r="U273" s="100"/>
      <c r="V273" s="101"/>
      <c r="W273" s="9">
        <v>35641</v>
      </c>
      <c r="X273" s="9"/>
      <c r="Y273" s="8">
        <f t="shared" si="54"/>
        <v>35641</v>
      </c>
      <c r="Z273" s="46">
        <f t="shared" si="55"/>
        <v>40754</v>
      </c>
      <c r="AA273" s="5">
        <v>15</v>
      </c>
      <c r="AB273" s="140">
        <f t="shared" si="58"/>
        <v>46233</v>
      </c>
      <c r="AC273" s="93" t="s">
        <v>254</v>
      </c>
      <c r="AD273" s="93" t="s">
        <v>242</v>
      </c>
      <c r="AE273" s="93" t="s">
        <v>14</v>
      </c>
      <c r="AF273" s="93" t="s">
        <v>15</v>
      </c>
      <c r="AG273" s="93" t="s">
        <v>472</v>
      </c>
      <c r="AH273" s="92">
        <v>59604</v>
      </c>
      <c r="AI273" s="47"/>
      <c r="AJ273" s="93" t="s">
        <v>430</v>
      </c>
      <c r="AT273" s="103"/>
      <c r="AU273" s="92">
        <v>10</v>
      </c>
      <c r="AY273" s="93">
        <v>10</v>
      </c>
      <c r="BF273" s="92"/>
      <c r="BG273" s="92"/>
      <c r="BH273" s="92"/>
      <c r="BI273" s="92"/>
      <c r="BJ273" s="92"/>
      <c r="BK273" s="92"/>
      <c r="BL273" s="92"/>
      <c r="BM273" s="92"/>
      <c r="BN273" s="92"/>
      <c r="BR273" s="52">
        <v>586242</v>
      </c>
      <c r="BS273" s="52" t="e">
        <f>VLOOKUP(M273,#REF!,2,TRUE)*(BR273/1000000)</f>
        <v>#REF!</v>
      </c>
      <c r="BT273" s="43" t="e">
        <f>VLOOKUP(M273,#REF!,3,TRUE)*(BR273/1000000)</f>
        <v>#REF!</v>
      </c>
    </row>
    <row r="274" spans="1:72" s="126" customFormat="1" ht="15" customHeight="1" x14ac:dyDescent="0.25">
      <c r="A274" s="124">
        <v>35541</v>
      </c>
      <c r="B274" s="125">
        <v>1997</v>
      </c>
      <c r="C274" s="125" t="s">
        <v>1014</v>
      </c>
      <c r="D274" s="126" t="s">
        <v>1908</v>
      </c>
      <c r="E274" s="126" t="s">
        <v>1351</v>
      </c>
      <c r="F274" s="126" t="s">
        <v>1140</v>
      </c>
      <c r="G274" s="127">
        <v>59001</v>
      </c>
      <c r="H274" s="128"/>
      <c r="I274" s="128"/>
      <c r="J274" s="126" t="s">
        <v>904</v>
      </c>
      <c r="K274" s="129">
        <v>0.09</v>
      </c>
      <c r="L274" s="125" t="s">
        <v>453</v>
      </c>
      <c r="M274" s="126" t="s">
        <v>302</v>
      </c>
      <c r="N274" s="125" t="s">
        <v>443</v>
      </c>
      <c r="O274" s="125">
        <v>32</v>
      </c>
      <c r="P274" s="125">
        <v>1</v>
      </c>
      <c r="Q274" s="134">
        <v>151340</v>
      </c>
      <c r="R274" s="134"/>
      <c r="S274" s="134"/>
      <c r="T274" s="134"/>
      <c r="U274" s="132"/>
      <c r="V274" s="133"/>
      <c r="W274" s="124">
        <v>36130</v>
      </c>
      <c r="X274" s="124"/>
      <c r="Y274" s="8">
        <f t="shared" si="54"/>
        <v>36130</v>
      </c>
      <c r="Z274" s="46">
        <f t="shared" si="55"/>
        <v>41244</v>
      </c>
      <c r="AA274" s="136">
        <v>16</v>
      </c>
      <c r="AB274" s="135">
        <f t="shared" si="58"/>
        <v>47088</v>
      </c>
      <c r="AC274" s="126" t="s">
        <v>147</v>
      </c>
      <c r="AD274" s="126" t="s">
        <v>153</v>
      </c>
      <c r="AE274" s="126" t="s">
        <v>154</v>
      </c>
      <c r="AF274" s="126" t="s">
        <v>127</v>
      </c>
      <c r="AG274" s="126" t="s">
        <v>474</v>
      </c>
      <c r="AH274" s="125">
        <v>98103</v>
      </c>
      <c r="AI274" s="47"/>
      <c r="AJ274" s="126" t="s">
        <v>155</v>
      </c>
      <c r="AT274" s="138"/>
      <c r="AU274" s="125">
        <v>32</v>
      </c>
      <c r="AX274" s="126">
        <v>28</v>
      </c>
      <c r="AY274" s="126">
        <v>4</v>
      </c>
      <c r="BF274" s="125"/>
      <c r="BG274" s="125"/>
      <c r="BH274" s="125"/>
      <c r="BI274" s="125"/>
      <c r="BJ274" s="125"/>
      <c r="BK274" s="125"/>
      <c r="BL274" s="125"/>
      <c r="BM274" s="125"/>
      <c r="BN274" s="125"/>
      <c r="BR274" s="52">
        <v>755867</v>
      </c>
      <c r="BS274" s="52" t="e">
        <f>VLOOKUP(M274,#REF!,2,TRUE)*(BR274/1000000)</f>
        <v>#REF!</v>
      </c>
      <c r="BT274" s="43" t="e">
        <f>VLOOKUP(M274,#REF!,3,TRUE)*(BR274/1000000)</f>
        <v>#REF!</v>
      </c>
    </row>
    <row r="275" spans="1:72" ht="15" customHeight="1" x14ac:dyDescent="0.25">
      <c r="A275" s="8">
        <v>34942</v>
      </c>
      <c r="B275" s="36">
        <v>1996</v>
      </c>
      <c r="C275" s="9" t="s">
        <v>1576</v>
      </c>
      <c r="D275" s="92" t="s">
        <v>1482</v>
      </c>
      <c r="E275" s="92" t="s">
        <v>104</v>
      </c>
      <c r="F275" s="93" t="s">
        <v>338</v>
      </c>
      <c r="G275" s="93">
        <v>59802</v>
      </c>
      <c r="J275" s="1" t="s">
        <v>338</v>
      </c>
      <c r="K275" s="40">
        <v>0.04</v>
      </c>
      <c r="L275" s="36" t="s">
        <v>453</v>
      </c>
      <c r="M275" s="1" t="s">
        <v>1169</v>
      </c>
      <c r="N275" s="36" t="s">
        <v>45</v>
      </c>
      <c r="O275" s="41">
        <v>161</v>
      </c>
      <c r="P275" s="41">
        <v>13</v>
      </c>
      <c r="Q275" s="43">
        <v>4689780</v>
      </c>
      <c r="R275" s="43"/>
      <c r="S275" s="43"/>
      <c r="T275" s="43"/>
      <c r="W275" s="8">
        <v>35271</v>
      </c>
      <c r="Y275" s="8">
        <f t="shared" si="54"/>
        <v>35271</v>
      </c>
      <c r="Z275" s="46">
        <f t="shared" si="55"/>
        <v>40384</v>
      </c>
      <c r="AA275" s="4">
        <v>15</v>
      </c>
      <c r="AB275" s="46">
        <f t="shared" si="58"/>
        <v>45863</v>
      </c>
      <c r="AC275" s="1" t="s">
        <v>637</v>
      </c>
      <c r="AD275" s="1" t="s">
        <v>150</v>
      </c>
      <c r="AE275" s="1" t="s">
        <v>151</v>
      </c>
      <c r="AF275" s="1" t="s">
        <v>127</v>
      </c>
      <c r="AG275" s="1" t="s">
        <v>474</v>
      </c>
      <c r="AH275" s="36">
        <v>98121</v>
      </c>
      <c r="AI275" s="47"/>
      <c r="AJ275" s="1" t="s">
        <v>638</v>
      </c>
      <c r="AU275" s="36">
        <f t="shared" ref="AU275:AU286" si="59">SUM(AV275:BD275)</f>
        <v>161</v>
      </c>
      <c r="AW275" s="1">
        <v>12</v>
      </c>
      <c r="AX275" s="1">
        <v>40</v>
      </c>
      <c r="AY275" s="1">
        <v>88</v>
      </c>
      <c r="AZ275" s="1">
        <v>21</v>
      </c>
      <c r="BR275" s="52">
        <v>10280000</v>
      </c>
      <c r="BS275" s="52" t="e">
        <f>VLOOKUP(M275,#REF!,2,TRUE)*(BR275/1000000)</f>
        <v>#REF!</v>
      </c>
      <c r="BT275" s="43" t="e">
        <f>VLOOKUP(M275,#REF!,3,TRUE)*(BR275/1000000)</f>
        <v>#REF!</v>
      </c>
    </row>
    <row r="276" spans="1:72" ht="15" customHeight="1" x14ac:dyDescent="0.25">
      <c r="A276" s="9">
        <v>35279</v>
      </c>
      <c r="B276" s="92">
        <v>1996</v>
      </c>
      <c r="C276" s="92" t="s">
        <v>1452</v>
      </c>
      <c r="D276" s="93" t="s">
        <v>1577</v>
      </c>
      <c r="E276" s="93" t="s">
        <v>1350</v>
      </c>
      <c r="F276" s="93" t="s">
        <v>1021</v>
      </c>
      <c r="G276" s="95">
        <v>59855</v>
      </c>
      <c r="H276" s="114"/>
      <c r="I276" s="114"/>
      <c r="J276" s="93" t="s">
        <v>318</v>
      </c>
      <c r="K276" s="97">
        <v>0.09</v>
      </c>
      <c r="L276" s="92" t="s">
        <v>454</v>
      </c>
      <c r="M276" s="93" t="s">
        <v>1169</v>
      </c>
      <c r="N276" s="92" t="s">
        <v>45</v>
      </c>
      <c r="O276" s="92">
        <v>20</v>
      </c>
      <c r="P276" s="92">
        <v>20</v>
      </c>
      <c r="Q276" s="102">
        <v>1286260</v>
      </c>
      <c r="R276" s="102"/>
      <c r="S276" s="102"/>
      <c r="T276" s="102"/>
      <c r="U276" s="100"/>
      <c r="V276" s="101"/>
      <c r="W276" s="8">
        <v>36151</v>
      </c>
      <c r="Y276" s="8">
        <f t="shared" si="54"/>
        <v>36151</v>
      </c>
      <c r="AA276" s="5"/>
      <c r="AC276" s="93" t="s">
        <v>450</v>
      </c>
      <c r="AD276" s="93" t="s">
        <v>538</v>
      </c>
      <c r="AE276" s="93" t="s">
        <v>228</v>
      </c>
      <c r="AF276" s="93" t="s">
        <v>126</v>
      </c>
      <c r="AG276" s="93" t="s">
        <v>472</v>
      </c>
      <c r="AH276" s="92">
        <v>59855</v>
      </c>
      <c r="AI276" s="47"/>
      <c r="AJ276" s="93" t="s">
        <v>427</v>
      </c>
      <c r="AK276" s="93"/>
      <c r="AL276" s="93"/>
      <c r="AM276" s="93"/>
      <c r="AN276" s="93"/>
      <c r="AO276" s="93"/>
      <c r="AP276" s="93"/>
      <c r="AQ276" s="93"/>
      <c r="AR276" s="93"/>
      <c r="AS276" s="93"/>
      <c r="AT276" s="103"/>
      <c r="AU276" s="92">
        <f t="shared" si="59"/>
        <v>20</v>
      </c>
      <c r="AV276" s="93"/>
      <c r="AW276" s="93"/>
      <c r="AX276" s="93"/>
      <c r="AY276" s="93"/>
      <c r="AZ276" s="93"/>
      <c r="BA276" s="93">
        <v>10</v>
      </c>
      <c r="BB276" s="93">
        <v>10</v>
      </c>
      <c r="BC276" s="93"/>
      <c r="BD276" s="93"/>
      <c r="BE276" s="93"/>
      <c r="BR276" s="52">
        <v>1586680</v>
      </c>
      <c r="BS276" s="52" t="e">
        <f>VLOOKUP(M276,#REF!,2,TRUE)*(BR276/1000000)</f>
        <v>#REF!</v>
      </c>
      <c r="BT276" s="43" t="e">
        <f>VLOOKUP(M276,#REF!,3,TRUE)*(BR276/1000000)</f>
        <v>#REF!</v>
      </c>
    </row>
    <row r="277" spans="1:72" ht="15" customHeight="1" x14ac:dyDescent="0.25">
      <c r="A277" s="8">
        <v>35279</v>
      </c>
      <c r="B277" s="36">
        <v>1996</v>
      </c>
      <c r="C277" s="36" t="s">
        <v>1014</v>
      </c>
      <c r="D277" s="1" t="s">
        <v>1481</v>
      </c>
      <c r="E277" s="1" t="s">
        <v>1349</v>
      </c>
      <c r="F277" s="1" t="s">
        <v>192</v>
      </c>
      <c r="G277" s="38">
        <v>59103</v>
      </c>
      <c r="J277" s="1" t="s">
        <v>898</v>
      </c>
      <c r="K277" s="40">
        <v>0.09</v>
      </c>
      <c r="L277" s="36" t="s">
        <v>440</v>
      </c>
      <c r="M277" s="1" t="s">
        <v>302</v>
      </c>
      <c r="N277" s="36" t="s">
        <v>45</v>
      </c>
      <c r="O277" s="36">
        <v>9</v>
      </c>
      <c r="P277" s="36">
        <v>4</v>
      </c>
      <c r="Q277" s="43">
        <v>753590</v>
      </c>
      <c r="R277" s="43"/>
      <c r="S277" s="43"/>
      <c r="T277" s="43"/>
      <c r="W277" s="8">
        <v>35614</v>
      </c>
      <c r="Y277" s="8">
        <f t="shared" si="54"/>
        <v>35614</v>
      </c>
      <c r="Z277" s="46">
        <f t="shared" si="55"/>
        <v>40727</v>
      </c>
      <c r="AA277" s="4">
        <v>16</v>
      </c>
      <c r="AB277" s="46">
        <f>DATE(YEAR(Z277)+AA277,MONTH(Z277),DAY(Z277))</f>
        <v>46571</v>
      </c>
      <c r="AC277" s="1" t="s">
        <v>132</v>
      </c>
      <c r="AD277" s="1" t="s">
        <v>293</v>
      </c>
      <c r="AE277" s="1" t="s">
        <v>593</v>
      </c>
      <c r="AF277" s="1" t="s">
        <v>17</v>
      </c>
      <c r="AG277" s="1" t="s">
        <v>472</v>
      </c>
      <c r="AH277" s="36">
        <v>59103</v>
      </c>
      <c r="AI277" s="47"/>
      <c r="AJ277" s="1" t="s">
        <v>425</v>
      </c>
      <c r="AU277" s="36">
        <f t="shared" si="59"/>
        <v>9</v>
      </c>
      <c r="AY277" s="1">
        <v>1</v>
      </c>
      <c r="AZ277" s="1">
        <v>4</v>
      </c>
      <c r="BA277" s="1">
        <v>3</v>
      </c>
      <c r="BB277" s="1">
        <v>1</v>
      </c>
      <c r="BR277" s="52">
        <v>726081</v>
      </c>
      <c r="BS277" s="52" t="e">
        <f>VLOOKUP(M277,#REF!,2,TRUE)*(BR277/1000000)</f>
        <v>#REF!</v>
      </c>
      <c r="BT277" s="43" t="e">
        <f>VLOOKUP(M277,#REF!,3,TRUE)*(BR277/1000000)</f>
        <v>#REF!</v>
      </c>
    </row>
    <row r="278" spans="1:72" ht="15" customHeight="1" x14ac:dyDescent="0.25">
      <c r="A278" s="9">
        <v>35279</v>
      </c>
      <c r="B278" s="92">
        <v>1996</v>
      </c>
      <c r="C278" s="92" t="s">
        <v>1576</v>
      </c>
      <c r="D278" s="93" t="s">
        <v>1581</v>
      </c>
      <c r="E278" s="93" t="s">
        <v>1348</v>
      </c>
      <c r="F278" s="93" t="s">
        <v>338</v>
      </c>
      <c r="G278" s="95">
        <v>59808</v>
      </c>
      <c r="H278" s="114"/>
      <c r="I278" s="114"/>
      <c r="J278" s="93" t="s">
        <v>338</v>
      </c>
      <c r="K278" s="97">
        <v>0.09</v>
      </c>
      <c r="L278" s="92" t="s">
        <v>453</v>
      </c>
      <c r="M278" s="93" t="s">
        <v>1169</v>
      </c>
      <c r="N278" s="92" t="s">
        <v>443</v>
      </c>
      <c r="O278" s="92">
        <v>70</v>
      </c>
      <c r="P278" s="92">
        <v>1</v>
      </c>
      <c r="Q278" s="102">
        <v>4437780</v>
      </c>
      <c r="R278" s="102"/>
      <c r="S278" s="102"/>
      <c r="T278" s="102"/>
      <c r="U278" s="100"/>
      <c r="V278" s="101"/>
      <c r="W278" s="8">
        <v>35915</v>
      </c>
      <c r="Y278" s="8">
        <f t="shared" si="54"/>
        <v>35915</v>
      </c>
      <c r="Z278" s="46">
        <f t="shared" si="55"/>
        <v>41029</v>
      </c>
      <c r="AA278" s="5">
        <v>15</v>
      </c>
      <c r="AB278" s="46">
        <f>DATE(YEAR(Z278)+AA278,MONTH(Z278),DAY(Z278))</f>
        <v>46507</v>
      </c>
      <c r="AC278" s="93" t="s">
        <v>709</v>
      </c>
      <c r="AD278" s="93" t="s">
        <v>596</v>
      </c>
      <c r="AE278" s="93" t="s">
        <v>598</v>
      </c>
      <c r="AF278" s="93" t="s">
        <v>149</v>
      </c>
      <c r="AG278" s="93" t="s">
        <v>475</v>
      </c>
      <c r="AH278" s="92">
        <v>92660</v>
      </c>
      <c r="AI278" s="47"/>
      <c r="AJ278" s="93" t="s">
        <v>710</v>
      </c>
      <c r="AK278" s="93"/>
      <c r="AL278" s="93"/>
      <c r="AM278" s="93"/>
      <c r="AN278" s="93"/>
      <c r="AO278" s="93"/>
      <c r="AP278" s="93"/>
      <c r="AQ278" s="93"/>
      <c r="AR278" s="93"/>
      <c r="AS278" s="93"/>
      <c r="AT278" s="103"/>
      <c r="AU278" s="92">
        <f t="shared" si="59"/>
        <v>70</v>
      </c>
      <c r="AV278" s="93"/>
      <c r="AW278" s="93"/>
      <c r="AX278" s="93">
        <v>53</v>
      </c>
      <c r="AY278" s="93">
        <v>17</v>
      </c>
      <c r="AZ278" s="93"/>
      <c r="BA278" s="93"/>
      <c r="BB278" s="93"/>
      <c r="BC278" s="93"/>
      <c r="BD278" s="93"/>
      <c r="BE278" s="93"/>
      <c r="BR278" s="52">
        <v>4565779</v>
      </c>
      <c r="BS278" s="52" t="e">
        <f>VLOOKUP(M278,#REF!,2,TRUE)*(BR278/1000000)</f>
        <v>#REF!</v>
      </c>
      <c r="BT278" s="43" t="e">
        <f>VLOOKUP(M278,#REF!,3,TRUE)*(BR278/1000000)</f>
        <v>#REF!</v>
      </c>
    </row>
    <row r="279" spans="1:72" ht="15" customHeight="1" x14ac:dyDescent="0.25">
      <c r="A279" s="9">
        <v>35279</v>
      </c>
      <c r="B279" s="92">
        <v>1996</v>
      </c>
      <c r="C279" s="92" t="s">
        <v>1578</v>
      </c>
      <c r="D279" s="93" t="s">
        <v>1579</v>
      </c>
      <c r="E279" s="93" t="s">
        <v>1347</v>
      </c>
      <c r="F279" s="93" t="s">
        <v>1271</v>
      </c>
      <c r="G279" s="95">
        <v>59522</v>
      </c>
      <c r="H279" s="114"/>
      <c r="I279" s="114"/>
      <c r="J279" s="93" t="s">
        <v>423</v>
      </c>
      <c r="K279" s="97">
        <v>0.09</v>
      </c>
      <c r="L279" s="92" t="s">
        <v>453</v>
      </c>
      <c r="M279" s="93" t="s">
        <v>1169</v>
      </c>
      <c r="N279" s="92" t="s">
        <v>45</v>
      </c>
      <c r="O279" s="92">
        <v>6</v>
      </c>
      <c r="P279" s="92"/>
      <c r="Q279" s="102">
        <v>30300</v>
      </c>
      <c r="R279" s="102"/>
      <c r="S279" s="102"/>
      <c r="T279" s="102"/>
      <c r="U279" s="100"/>
      <c r="V279" s="101"/>
      <c r="W279" s="8">
        <v>35557</v>
      </c>
      <c r="Y279" s="8">
        <f t="shared" si="54"/>
        <v>35557</v>
      </c>
      <c r="AA279" s="5"/>
      <c r="AC279" s="93" t="s">
        <v>292</v>
      </c>
      <c r="AD279" s="93"/>
      <c r="AE279" s="93" t="s">
        <v>112</v>
      </c>
      <c r="AF279" s="93" t="s">
        <v>125</v>
      </c>
      <c r="AG279" s="93" t="s">
        <v>472</v>
      </c>
      <c r="AH279" s="92">
        <v>59522</v>
      </c>
      <c r="AI279" s="47"/>
      <c r="AJ279" s="93" t="s">
        <v>424</v>
      </c>
      <c r="AK279" s="93"/>
      <c r="AL279" s="93"/>
      <c r="AM279" s="93"/>
      <c r="AN279" s="93"/>
      <c r="AO279" s="93"/>
      <c r="AP279" s="93"/>
      <c r="AQ279" s="93"/>
      <c r="AR279" s="93"/>
      <c r="AS279" s="93"/>
      <c r="AT279" s="103"/>
      <c r="AU279" s="92">
        <f t="shared" si="59"/>
        <v>6</v>
      </c>
      <c r="AV279" s="151"/>
      <c r="AW279" s="93"/>
      <c r="AX279" s="93"/>
      <c r="AY279" s="93"/>
      <c r="AZ279" s="93">
        <v>2</v>
      </c>
      <c r="BA279" s="93"/>
      <c r="BB279" s="93"/>
      <c r="BC279" s="93"/>
      <c r="BD279" s="93">
        <v>4</v>
      </c>
      <c r="BE279" s="93"/>
      <c r="BR279" s="52">
        <v>275296</v>
      </c>
      <c r="BS279" s="52" t="e">
        <f>VLOOKUP(M279,#REF!,2,TRUE)*(BR279/1000000)</f>
        <v>#REF!</v>
      </c>
      <c r="BT279" s="43" t="e">
        <f>VLOOKUP(M279,#REF!,3,TRUE)*(BR279/1000000)</f>
        <v>#REF!</v>
      </c>
    </row>
    <row r="280" spans="1:72" ht="15" customHeight="1" x14ac:dyDescent="0.25">
      <c r="A280" s="8">
        <v>35188</v>
      </c>
      <c r="B280" s="36">
        <v>1996</v>
      </c>
      <c r="C280" s="36" t="s">
        <v>1014</v>
      </c>
      <c r="D280" s="1" t="s">
        <v>1480</v>
      </c>
      <c r="E280" s="1" t="s">
        <v>1346</v>
      </c>
      <c r="F280" s="1" t="s">
        <v>1270</v>
      </c>
      <c r="G280" s="38">
        <v>59523</v>
      </c>
      <c r="J280" s="1" t="s">
        <v>171</v>
      </c>
      <c r="K280" s="40">
        <v>0.09</v>
      </c>
      <c r="L280" s="36" t="s">
        <v>453</v>
      </c>
      <c r="M280" s="1" t="s">
        <v>1169</v>
      </c>
      <c r="N280" s="36" t="s">
        <v>45</v>
      </c>
      <c r="O280" s="36">
        <v>12</v>
      </c>
      <c r="Q280" s="43">
        <v>71560</v>
      </c>
      <c r="R280" s="43"/>
      <c r="S280" s="43"/>
      <c r="T280" s="43"/>
      <c r="W280" s="8">
        <v>35419</v>
      </c>
      <c r="Y280" s="8">
        <f t="shared" si="54"/>
        <v>35419</v>
      </c>
      <c r="Z280" s="46">
        <f t="shared" si="55"/>
        <v>40532</v>
      </c>
      <c r="AA280" s="4">
        <v>35</v>
      </c>
      <c r="AB280" s="46">
        <f>DATE(YEAR(Z280)+AA280,MONTH(Z280),DAY(Z280))</f>
        <v>53316</v>
      </c>
      <c r="AC280" s="1" t="s">
        <v>289</v>
      </c>
      <c r="AD280" s="1" t="s">
        <v>681</v>
      </c>
      <c r="AE280" s="1" t="s">
        <v>96</v>
      </c>
      <c r="AF280" s="1" t="s">
        <v>20</v>
      </c>
      <c r="AG280" s="1" t="s">
        <v>472</v>
      </c>
      <c r="AH280" s="36" t="s">
        <v>97</v>
      </c>
      <c r="AI280" s="47"/>
      <c r="AJ280" s="38" t="s">
        <v>551</v>
      </c>
      <c r="AK280" s="38"/>
      <c r="AL280" s="38"/>
      <c r="AM280" s="38"/>
      <c r="AN280" s="38"/>
      <c r="AO280" s="38"/>
      <c r="AP280" s="38"/>
      <c r="AQ280" s="38"/>
      <c r="AR280" s="38"/>
      <c r="AS280" s="38"/>
      <c r="AU280" s="36">
        <f t="shared" si="59"/>
        <v>12</v>
      </c>
      <c r="AX280" s="1">
        <v>4</v>
      </c>
      <c r="AY280" s="1">
        <v>8</v>
      </c>
      <c r="BR280" s="52">
        <v>201224</v>
      </c>
      <c r="BS280" s="52" t="e">
        <f>VLOOKUP(M280,#REF!,2,TRUE)*(BR280/1000000)</f>
        <v>#REF!</v>
      </c>
      <c r="BT280" s="43" t="e">
        <f>VLOOKUP(M280,#REF!,3,TRUE)*(BR280/1000000)</f>
        <v>#REF!</v>
      </c>
    </row>
    <row r="281" spans="1:72" ht="15" customHeight="1" x14ac:dyDescent="0.25">
      <c r="A281" s="9">
        <v>35188</v>
      </c>
      <c r="B281" s="92">
        <v>1996</v>
      </c>
      <c r="C281" s="92" t="s">
        <v>1578</v>
      </c>
      <c r="D281" s="93" t="s">
        <v>1580</v>
      </c>
      <c r="E281" s="93" t="s">
        <v>1345</v>
      </c>
      <c r="F281" s="93" t="s">
        <v>1269</v>
      </c>
      <c r="G281" s="95">
        <v>59758</v>
      </c>
      <c r="H281" s="114"/>
      <c r="I281" s="114"/>
      <c r="J281" s="93" t="s">
        <v>314</v>
      </c>
      <c r="K281" s="97">
        <v>0.09</v>
      </c>
      <c r="L281" s="92" t="s">
        <v>453</v>
      </c>
      <c r="M281" s="93" t="s">
        <v>1169</v>
      </c>
      <c r="N281" s="92" t="s">
        <v>45</v>
      </c>
      <c r="O281" s="92">
        <v>53</v>
      </c>
      <c r="P281" s="92"/>
      <c r="Q281" s="102">
        <v>1781930</v>
      </c>
      <c r="R281" s="102"/>
      <c r="S281" s="102"/>
      <c r="T281" s="102"/>
      <c r="U281" s="100"/>
      <c r="V281" s="101"/>
      <c r="W281" s="8">
        <v>35489</v>
      </c>
      <c r="Y281" s="8">
        <f t="shared" si="54"/>
        <v>35489</v>
      </c>
      <c r="AA281" s="5"/>
      <c r="AC281" s="93" t="s">
        <v>692</v>
      </c>
      <c r="AD281" s="93" t="s">
        <v>605</v>
      </c>
      <c r="AE281" s="93" t="s">
        <v>1</v>
      </c>
      <c r="AF281" s="93" t="s">
        <v>479</v>
      </c>
      <c r="AG281" s="93" t="s">
        <v>472</v>
      </c>
      <c r="AH281" s="92">
        <v>59718</v>
      </c>
      <c r="AI281" s="47"/>
      <c r="AJ281" s="93" t="s">
        <v>422</v>
      </c>
      <c r="AK281" s="93"/>
      <c r="AL281" s="93"/>
      <c r="AM281" s="93"/>
      <c r="AN281" s="93"/>
      <c r="AO281" s="93"/>
      <c r="AP281" s="93"/>
      <c r="AQ281" s="93"/>
      <c r="AR281" s="93"/>
      <c r="AS281" s="93"/>
      <c r="AT281" s="103"/>
      <c r="AU281" s="92">
        <f t="shared" si="59"/>
        <v>53</v>
      </c>
      <c r="AV281" s="93">
        <v>28</v>
      </c>
      <c r="AW281" s="93"/>
      <c r="AX281" s="93">
        <v>14</v>
      </c>
      <c r="AY281" s="93">
        <v>11</v>
      </c>
      <c r="AZ281" s="93"/>
      <c r="BA281" s="93"/>
      <c r="BB281" s="93"/>
      <c r="BC281" s="93"/>
      <c r="BD281" s="93"/>
      <c r="BE281" s="93"/>
      <c r="BR281" s="52">
        <v>2563215</v>
      </c>
      <c r="BS281" s="52" t="e">
        <f>VLOOKUP(M281,#REF!,2,TRUE)*(BR281/1000000)</f>
        <v>#REF!</v>
      </c>
      <c r="BT281" s="43" t="e">
        <f>VLOOKUP(M281,#REF!,3,TRUE)*(BR281/1000000)</f>
        <v>#REF!</v>
      </c>
    </row>
    <row r="282" spans="1:72" ht="15" customHeight="1" x14ac:dyDescent="0.25">
      <c r="A282" s="8">
        <v>35125</v>
      </c>
      <c r="B282" s="36">
        <v>1996</v>
      </c>
      <c r="C282" s="36" t="s">
        <v>1014</v>
      </c>
      <c r="D282" s="1" t="s">
        <v>1858</v>
      </c>
      <c r="E282" s="1" t="s">
        <v>1344</v>
      </c>
      <c r="F282" s="1" t="s">
        <v>192</v>
      </c>
      <c r="G282" s="38">
        <v>59103</v>
      </c>
      <c r="J282" s="1" t="s">
        <v>898</v>
      </c>
      <c r="K282" s="40">
        <v>0.09</v>
      </c>
      <c r="L282" s="36" t="s">
        <v>453</v>
      </c>
      <c r="M282" s="1" t="s">
        <v>1169</v>
      </c>
      <c r="N282" s="36" t="s">
        <v>45</v>
      </c>
      <c r="O282" s="41">
        <v>63</v>
      </c>
      <c r="P282" s="36">
        <v>3</v>
      </c>
      <c r="Q282" s="43">
        <v>2599650</v>
      </c>
      <c r="R282" s="43"/>
      <c r="S282" s="43"/>
      <c r="T282" s="43"/>
      <c r="W282" s="8">
        <v>35737</v>
      </c>
      <c r="Y282" s="8">
        <f t="shared" si="54"/>
        <v>35737</v>
      </c>
      <c r="Z282" s="46">
        <f t="shared" si="55"/>
        <v>40850</v>
      </c>
      <c r="AA282" s="4">
        <v>16</v>
      </c>
      <c r="AB282" s="46">
        <f t="shared" ref="AB282:AB302" si="60">DATE(YEAR(Z282)+AA282,MONTH(Z282),DAY(Z282))</f>
        <v>46694</v>
      </c>
      <c r="AC282" s="1" t="s">
        <v>99</v>
      </c>
      <c r="AD282" s="1" t="s">
        <v>654</v>
      </c>
      <c r="AE282" s="1" t="s">
        <v>653</v>
      </c>
      <c r="AF282" s="1" t="s">
        <v>20</v>
      </c>
      <c r="AG282" s="1" t="s">
        <v>472</v>
      </c>
      <c r="AH282" s="36">
        <v>59802</v>
      </c>
      <c r="AI282" s="47"/>
      <c r="AJ282" s="1" t="s">
        <v>100</v>
      </c>
      <c r="AU282" s="36">
        <f t="shared" si="59"/>
        <v>63</v>
      </c>
      <c r="AX282" s="1">
        <v>3</v>
      </c>
      <c r="AY282" s="1">
        <f>14+28</f>
        <v>42</v>
      </c>
      <c r="AZ282" s="1">
        <v>18</v>
      </c>
      <c r="BR282" s="52">
        <v>3158500</v>
      </c>
      <c r="BS282" s="52" t="e">
        <f>VLOOKUP(M282,#REF!,2,TRUE)*(BR282/1000000)</f>
        <v>#REF!</v>
      </c>
      <c r="BT282" s="43" t="e">
        <f>VLOOKUP(M282,#REF!,3,TRUE)*(BR282/1000000)</f>
        <v>#REF!</v>
      </c>
    </row>
    <row r="283" spans="1:72" s="93" customFormat="1" ht="15" customHeight="1" x14ac:dyDescent="0.25">
      <c r="A283" s="8">
        <v>35125</v>
      </c>
      <c r="B283" s="36">
        <v>1996</v>
      </c>
      <c r="C283" s="36" t="s">
        <v>1014</v>
      </c>
      <c r="D283" s="1" t="s">
        <v>1861</v>
      </c>
      <c r="E283" s="1" t="s">
        <v>1343</v>
      </c>
      <c r="F283" s="1" t="s">
        <v>1268</v>
      </c>
      <c r="G283" s="38">
        <v>59714</v>
      </c>
      <c r="H283" s="39"/>
      <c r="I283" s="39"/>
      <c r="J283" s="1" t="s">
        <v>314</v>
      </c>
      <c r="K283" s="40">
        <v>0.09</v>
      </c>
      <c r="L283" s="36" t="s">
        <v>453</v>
      </c>
      <c r="M283" s="1" t="s">
        <v>1169</v>
      </c>
      <c r="N283" s="36" t="s">
        <v>45</v>
      </c>
      <c r="O283" s="41">
        <v>16</v>
      </c>
      <c r="P283" s="36">
        <v>2</v>
      </c>
      <c r="Q283" s="43">
        <v>708460</v>
      </c>
      <c r="R283" s="43"/>
      <c r="S283" s="43"/>
      <c r="T283" s="43"/>
      <c r="U283" s="53"/>
      <c r="V283" s="45"/>
      <c r="W283" s="8">
        <v>35580</v>
      </c>
      <c r="X283" s="8"/>
      <c r="Y283" s="8">
        <f t="shared" si="54"/>
        <v>35580</v>
      </c>
      <c r="Z283" s="46">
        <f t="shared" si="55"/>
        <v>40693</v>
      </c>
      <c r="AA283" s="4">
        <v>15</v>
      </c>
      <c r="AB283" s="46">
        <f t="shared" si="60"/>
        <v>46172</v>
      </c>
      <c r="AC283" s="1" t="s">
        <v>656</v>
      </c>
      <c r="AD283" s="1" t="s">
        <v>605</v>
      </c>
      <c r="AE283" s="1" t="s">
        <v>331</v>
      </c>
      <c r="AF283" s="1" t="s">
        <v>479</v>
      </c>
      <c r="AG283" s="1" t="s">
        <v>472</v>
      </c>
      <c r="AH283" s="36">
        <v>59715</v>
      </c>
      <c r="AI283" s="47"/>
      <c r="AJ283" s="1" t="s">
        <v>422</v>
      </c>
      <c r="AK283" s="1"/>
      <c r="AL283" s="1"/>
      <c r="AM283" s="1"/>
      <c r="AN283" s="1"/>
      <c r="AO283" s="1"/>
      <c r="AP283" s="1"/>
      <c r="AQ283" s="1"/>
      <c r="AR283" s="1"/>
      <c r="AS283" s="1"/>
      <c r="AT283" s="56"/>
      <c r="AU283" s="36">
        <f t="shared" si="59"/>
        <v>16</v>
      </c>
      <c r="AV283" s="1"/>
      <c r="AW283" s="1"/>
      <c r="AX283" s="1"/>
      <c r="AY283" s="1">
        <v>16</v>
      </c>
      <c r="AZ283" s="1"/>
      <c r="BA283" s="1"/>
      <c r="BB283" s="1"/>
      <c r="BC283" s="1"/>
      <c r="BD283" s="1"/>
      <c r="BE283" s="1"/>
      <c r="BF283" s="92"/>
      <c r="BG283" s="92"/>
      <c r="BH283" s="92"/>
      <c r="BI283" s="92"/>
      <c r="BJ283" s="92"/>
      <c r="BK283" s="92"/>
      <c r="BL283" s="92"/>
      <c r="BM283" s="92"/>
      <c r="BN283" s="92"/>
      <c r="BR283" s="52">
        <v>907144</v>
      </c>
      <c r="BS283" s="52" t="e">
        <f>VLOOKUP(M283,#REF!,2,TRUE)*(BR283/1000000)</f>
        <v>#REF!</v>
      </c>
      <c r="BT283" s="43" t="e">
        <f>VLOOKUP(M283,#REF!,3,TRUE)*(BR283/1000000)</f>
        <v>#REF!</v>
      </c>
    </row>
    <row r="284" spans="1:72" ht="15" customHeight="1" x14ac:dyDescent="0.25">
      <c r="A284" s="8">
        <v>35125</v>
      </c>
      <c r="B284" s="36">
        <v>1996</v>
      </c>
      <c r="C284" s="36" t="s">
        <v>1014</v>
      </c>
      <c r="D284" s="1" t="s">
        <v>1479</v>
      </c>
      <c r="E284" s="1" t="s">
        <v>1342</v>
      </c>
      <c r="F284" s="1" t="s">
        <v>338</v>
      </c>
      <c r="G284" s="38">
        <v>59803</v>
      </c>
      <c r="J284" s="1" t="s">
        <v>338</v>
      </c>
      <c r="K284" s="40">
        <v>0.09</v>
      </c>
      <c r="L284" s="36" t="s">
        <v>453</v>
      </c>
      <c r="M284" s="1" t="s">
        <v>1169</v>
      </c>
      <c r="N284" s="36" t="s">
        <v>443</v>
      </c>
      <c r="O284" s="41">
        <v>51</v>
      </c>
      <c r="Q284" s="43">
        <v>3000000</v>
      </c>
      <c r="R284" s="43"/>
      <c r="S284" s="43"/>
      <c r="T284" s="43"/>
      <c r="W284" s="8">
        <v>35772</v>
      </c>
      <c r="Y284" s="8">
        <f t="shared" si="54"/>
        <v>35772</v>
      </c>
      <c r="Z284" s="46">
        <f t="shared" si="55"/>
        <v>40885</v>
      </c>
      <c r="AA284" s="4">
        <v>31</v>
      </c>
      <c r="AB284" s="46">
        <f t="shared" si="60"/>
        <v>52208</v>
      </c>
      <c r="AC284" s="1" t="s">
        <v>612</v>
      </c>
      <c r="AD284" s="1" t="s">
        <v>148</v>
      </c>
      <c r="AE284" s="1" t="s">
        <v>362</v>
      </c>
      <c r="AF284" s="1" t="s">
        <v>30</v>
      </c>
      <c r="AG284" s="1" t="s">
        <v>471</v>
      </c>
      <c r="AH284" s="36">
        <v>97239</v>
      </c>
      <c r="AI284" s="47"/>
      <c r="AJ284" s="1" t="s">
        <v>613</v>
      </c>
      <c r="AU284" s="36">
        <f t="shared" si="59"/>
        <v>51</v>
      </c>
      <c r="AX284" s="1">
        <f>17+27</f>
        <v>44</v>
      </c>
      <c r="AY284" s="1">
        <v>7</v>
      </c>
      <c r="BR284" s="52">
        <v>2966629</v>
      </c>
      <c r="BS284" s="52" t="e">
        <f>VLOOKUP(M284,#REF!,2,TRUE)*(BR284/1000000)</f>
        <v>#REF!</v>
      </c>
      <c r="BT284" s="43" t="e">
        <f>VLOOKUP(M284,#REF!,3,TRUE)*(BR284/1000000)</f>
        <v>#REF!</v>
      </c>
    </row>
    <row r="285" spans="1:72" ht="15" customHeight="1" x14ac:dyDescent="0.25">
      <c r="A285" s="8">
        <v>35125</v>
      </c>
      <c r="B285" s="36">
        <v>1996</v>
      </c>
      <c r="C285" s="36" t="s">
        <v>1014</v>
      </c>
      <c r="D285" s="1" t="s">
        <v>1478</v>
      </c>
      <c r="E285" s="1" t="s">
        <v>1341</v>
      </c>
      <c r="F285" s="1" t="s">
        <v>1262</v>
      </c>
      <c r="G285" s="38">
        <v>59034</v>
      </c>
      <c r="J285" s="1" t="s">
        <v>420</v>
      </c>
      <c r="K285" s="40">
        <v>0.09</v>
      </c>
      <c r="L285" s="36" t="s">
        <v>453</v>
      </c>
      <c r="M285" s="1" t="s">
        <v>1169</v>
      </c>
      <c r="N285" s="36" t="s">
        <v>443</v>
      </c>
      <c r="O285" s="41">
        <v>24</v>
      </c>
      <c r="Q285" s="43">
        <v>446300</v>
      </c>
      <c r="R285" s="43"/>
      <c r="S285" s="43"/>
      <c r="T285" s="43"/>
      <c r="W285" s="8">
        <v>35496</v>
      </c>
      <c r="Y285" s="8">
        <f t="shared" si="54"/>
        <v>35496</v>
      </c>
      <c r="Z285" s="46">
        <f t="shared" si="55"/>
        <v>40609</v>
      </c>
      <c r="AA285" s="4">
        <v>35</v>
      </c>
      <c r="AB285" s="46">
        <f t="shared" si="60"/>
        <v>53393</v>
      </c>
      <c r="AC285" s="1" t="s">
        <v>286</v>
      </c>
      <c r="AD285" s="1" t="s">
        <v>287</v>
      </c>
      <c r="AE285" s="1" t="s">
        <v>111</v>
      </c>
      <c r="AF285" s="1" t="s">
        <v>124</v>
      </c>
      <c r="AG285" s="1" t="s">
        <v>119</v>
      </c>
      <c r="AH285" s="36">
        <v>54601</v>
      </c>
      <c r="AI285" s="47"/>
      <c r="AJ285" s="1" t="s">
        <v>421</v>
      </c>
      <c r="AU285" s="36">
        <f t="shared" si="59"/>
        <v>24</v>
      </c>
      <c r="AX285" s="1">
        <v>24</v>
      </c>
      <c r="BR285" s="52">
        <v>1201303</v>
      </c>
      <c r="BS285" s="52" t="e">
        <f>VLOOKUP(M285,#REF!,2,TRUE)*(BR285/1000000)</f>
        <v>#REF!</v>
      </c>
      <c r="BT285" s="43" t="e">
        <f>VLOOKUP(M285,#REF!,3,TRUE)*(BR285/1000000)</f>
        <v>#REF!</v>
      </c>
    </row>
    <row r="286" spans="1:72" ht="15" customHeight="1" x14ac:dyDescent="0.25">
      <c r="A286" s="8">
        <v>35125</v>
      </c>
      <c r="B286" s="36">
        <v>1996</v>
      </c>
      <c r="C286" s="36" t="s">
        <v>1014</v>
      </c>
      <c r="D286" s="1" t="s">
        <v>1477</v>
      </c>
      <c r="E286" s="1" t="s">
        <v>1340</v>
      </c>
      <c r="F286" s="1" t="s">
        <v>887</v>
      </c>
      <c r="G286" s="38">
        <v>59601</v>
      </c>
      <c r="J286" s="37" t="s">
        <v>913</v>
      </c>
      <c r="K286" s="40">
        <v>0.09</v>
      </c>
      <c r="L286" s="36" t="s">
        <v>453</v>
      </c>
      <c r="M286" s="1" t="s">
        <v>1169</v>
      </c>
      <c r="N286" s="36" t="s">
        <v>443</v>
      </c>
      <c r="O286" s="41">
        <v>38</v>
      </c>
      <c r="P286" s="36">
        <v>1</v>
      </c>
      <c r="Q286" s="43">
        <v>1828860</v>
      </c>
      <c r="R286" s="43"/>
      <c r="S286" s="43"/>
      <c r="T286" s="43"/>
      <c r="W286" s="8">
        <v>35734</v>
      </c>
      <c r="Y286" s="8">
        <f t="shared" si="54"/>
        <v>35734</v>
      </c>
      <c r="Z286" s="46">
        <f t="shared" si="55"/>
        <v>40847</v>
      </c>
      <c r="AA286" s="4">
        <v>35</v>
      </c>
      <c r="AB286" s="46">
        <f t="shared" si="60"/>
        <v>53631</v>
      </c>
      <c r="AC286" s="1" t="s">
        <v>254</v>
      </c>
      <c r="AD286" s="1" t="s">
        <v>242</v>
      </c>
      <c r="AE286" s="1" t="s">
        <v>14</v>
      </c>
      <c r="AF286" s="1" t="s">
        <v>15</v>
      </c>
      <c r="AG286" s="1" t="s">
        <v>472</v>
      </c>
      <c r="AH286" s="36">
        <v>59604</v>
      </c>
      <c r="AI286" s="47"/>
      <c r="AJ286" s="1" t="s">
        <v>418</v>
      </c>
      <c r="AU286" s="36">
        <f t="shared" si="59"/>
        <v>38</v>
      </c>
      <c r="AX286" s="1">
        <f>27+7</f>
        <v>34</v>
      </c>
      <c r="AY286" s="1">
        <v>4</v>
      </c>
      <c r="BR286" s="52">
        <v>2229444</v>
      </c>
      <c r="BS286" s="52" t="e">
        <f>VLOOKUP(M286,#REF!,2,TRUE)*(BR286/1000000)</f>
        <v>#REF!</v>
      </c>
      <c r="BT286" s="43" t="e">
        <f>VLOOKUP(M286,#REF!,3,TRUE)*(BR286/1000000)</f>
        <v>#REF!</v>
      </c>
    </row>
    <row r="287" spans="1:72" ht="15" customHeight="1" x14ac:dyDescent="0.25">
      <c r="A287" s="8" t="s">
        <v>416</v>
      </c>
      <c r="B287" s="36">
        <v>1995</v>
      </c>
      <c r="C287" s="36" t="s">
        <v>1014</v>
      </c>
      <c r="D287" s="1" t="s">
        <v>1476</v>
      </c>
      <c r="E287" s="1" t="s">
        <v>1339</v>
      </c>
      <c r="F287" s="1" t="s">
        <v>65</v>
      </c>
      <c r="G287" s="38">
        <v>59405</v>
      </c>
      <c r="J287" s="1" t="s">
        <v>308</v>
      </c>
      <c r="K287" s="40">
        <v>0.09</v>
      </c>
      <c r="L287" s="36" t="s">
        <v>453</v>
      </c>
      <c r="M287" s="1" t="s">
        <v>1169</v>
      </c>
      <c r="N287" s="36" t="s">
        <v>45</v>
      </c>
      <c r="O287" s="41">
        <v>47</v>
      </c>
      <c r="Q287" s="43">
        <v>2194910</v>
      </c>
      <c r="R287" s="43"/>
      <c r="S287" s="43"/>
      <c r="T287" s="43"/>
      <c r="W287" s="8">
        <v>35277</v>
      </c>
      <c r="Y287" s="8">
        <f t="shared" si="54"/>
        <v>35277</v>
      </c>
      <c r="Z287" s="46">
        <f t="shared" si="55"/>
        <v>40390</v>
      </c>
      <c r="AA287" s="4">
        <v>16</v>
      </c>
      <c r="AB287" s="46">
        <f t="shared" si="60"/>
        <v>46234</v>
      </c>
      <c r="AC287" s="1" t="s">
        <v>285</v>
      </c>
      <c r="AD287" s="1" t="s">
        <v>716</v>
      </c>
      <c r="AE287" s="1" t="s">
        <v>110</v>
      </c>
      <c r="AF287" s="1" t="s">
        <v>121</v>
      </c>
      <c r="AG287" s="1" t="s">
        <v>472</v>
      </c>
      <c r="AH287" s="36">
        <v>59405</v>
      </c>
      <c r="AI287" s="47"/>
      <c r="AJ287" s="1" t="s">
        <v>417</v>
      </c>
      <c r="AU287" s="36">
        <v>47</v>
      </c>
      <c r="AY287" s="1">
        <v>15</v>
      </c>
      <c r="AZ287" s="1">
        <v>32</v>
      </c>
      <c r="BR287" s="52">
        <v>2570296</v>
      </c>
      <c r="BS287" s="52" t="e">
        <f>VLOOKUP(M287,#REF!,2,TRUE)*(BR287/1000000)</f>
        <v>#REF!</v>
      </c>
      <c r="BT287" s="43" t="e">
        <f>VLOOKUP(M287,#REF!,3,TRUE)*(BR287/1000000)</f>
        <v>#REF!</v>
      </c>
    </row>
    <row r="288" spans="1:72" ht="15" customHeight="1" x14ac:dyDescent="0.25">
      <c r="A288" s="8" t="s">
        <v>416</v>
      </c>
      <c r="B288" s="36">
        <v>1995</v>
      </c>
      <c r="C288" s="36" t="s">
        <v>1014</v>
      </c>
      <c r="D288" s="1" t="s">
        <v>1921</v>
      </c>
      <c r="E288" s="1" t="s">
        <v>1338</v>
      </c>
      <c r="F288" s="1" t="s">
        <v>65</v>
      </c>
      <c r="G288" s="38">
        <v>59405</v>
      </c>
      <c r="J288" s="1" t="s">
        <v>308</v>
      </c>
      <c r="K288" s="40">
        <v>0.09</v>
      </c>
      <c r="L288" s="36" t="s">
        <v>453</v>
      </c>
      <c r="M288" s="1" t="s">
        <v>1169</v>
      </c>
      <c r="N288" s="36" t="s">
        <v>45</v>
      </c>
      <c r="O288" s="41">
        <v>20</v>
      </c>
      <c r="Q288" s="43">
        <v>1207620</v>
      </c>
      <c r="R288" s="43"/>
      <c r="S288" s="43"/>
      <c r="T288" s="43"/>
      <c r="W288" s="8">
        <v>35068</v>
      </c>
      <c r="Y288" s="8">
        <f t="shared" si="54"/>
        <v>35068</v>
      </c>
      <c r="Z288" s="46">
        <f t="shared" si="55"/>
        <v>40182</v>
      </c>
      <c r="AA288" s="4">
        <v>15</v>
      </c>
      <c r="AB288" s="46">
        <f t="shared" si="60"/>
        <v>45661</v>
      </c>
      <c r="AC288" s="1" t="s">
        <v>512</v>
      </c>
      <c r="AD288" s="1" t="s">
        <v>246</v>
      </c>
      <c r="AE288" s="1" t="s">
        <v>16</v>
      </c>
      <c r="AF288" s="1" t="s">
        <v>17</v>
      </c>
      <c r="AG288" s="1" t="s">
        <v>472</v>
      </c>
      <c r="AH288" s="36">
        <v>59103</v>
      </c>
      <c r="AI288" s="47"/>
      <c r="AJ288" s="1" t="s">
        <v>513</v>
      </c>
      <c r="AU288" s="36">
        <v>20</v>
      </c>
      <c r="AY288" s="1">
        <v>10</v>
      </c>
      <c r="AZ288" s="1">
        <v>10</v>
      </c>
      <c r="BR288" s="52">
        <v>1128000</v>
      </c>
      <c r="BS288" s="52" t="e">
        <f>VLOOKUP(M288,#REF!,2,TRUE)*(BR288/1000000)</f>
        <v>#REF!</v>
      </c>
      <c r="BT288" s="43" t="e">
        <f>VLOOKUP(M288,#REF!,3,TRUE)*(BR288/1000000)</f>
        <v>#REF!</v>
      </c>
    </row>
    <row r="289" spans="1:72" ht="15" customHeight="1" x14ac:dyDescent="0.25">
      <c r="A289" s="8" t="s">
        <v>415</v>
      </c>
      <c r="B289" s="36">
        <v>1995</v>
      </c>
      <c r="C289" s="36" t="s">
        <v>1014</v>
      </c>
      <c r="D289" s="1" t="s">
        <v>1475</v>
      </c>
      <c r="E289" s="1" t="s">
        <v>1337</v>
      </c>
      <c r="F289" s="1" t="s">
        <v>338</v>
      </c>
      <c r="G289" s="38">
        <v>59802</v>
      </c>
      <c r="H289" s="39">
        <v>46.880940000000002</v>
      </c>
      <c r="I289" s="39">
        <v>-114.01765</v>
      </c>
      <c r="J289" s="1" t="s">
        <v>338</v>
      </c>
      <c r="K289" s="40">
        <v>0.09</v>
      </c>
      <c r="L289" s="36" t="s">
        <v>453</v>
      </c>
      <c r="M289" s="1" t="s">
        <v>1169</v>
      </c>
      <c r="N289" s="36" t="s">
        <v>45</v>
      </c>
      <c r="O289" s="41">
        <v>8</v>
      </c>
      <c r="P289" s="36">
        <v>2</v>
      </c>
      <c r="Q289" s="43">
        <v>161740</v>
      </c>
      <c r="R289" s="43"/>
      <c r="S289" s="43"/>
      <c r="T289" s="43"/>
      <c r="W289" s="8">
        <v>35312</v>
      </c>
      <c r="Y289" s="8">
        <f t="shared" si="54"/>
        <v>35312</v>
      </c>
      <c r="Z289" s="46">
        <f t="shared" si="55"/>
        <v>40425</v>
      </c>
      <c r="AA289" s="4">
        <v>15</v>
      </c>
      <c r="AB289" s="46">
        <f t="shared" si="60"/>
        <v>45904</v>
      </c>
      <c r="AC289" s="1" t="s">
        <v>350</v>
      </c>
      <c r="AD289" s="1" t="s">
        <v>284</v>
      </c>
      <c r="AE289" s="1" t="s">
        <v>365</v>
      </c>
      <c r="AF289" s="1" t="s">
        <v>20</v>
      </c>
      <c r="AG289" s="1" t="s">
        <v>472</v>
      </c>
      <c r="AH289" s="36">
        <v>59802</v>
      </c>
      <c r="AI289" s="47"/>
      <c r="AJ289" s="1" t="s">
        <v>708</v>
      </c>
      <c r="AU289" s="36">
        <v>8</v>
      </c>
      <c r="AX289" s="1">
        <v>8</v>
      </c>
      <c r="BR289" s="52">
        <v>389890</v>
      </c>
      <c r="BS289" s="52" t="e">
        <f>VLOOKUP(M289,#REF!,2,TRUE)*(BR289/1000000)</f>
        <v>#REF!</v>
      </c>
      <c r="BT289" s="43" t="e">
        <f>VLOOKUP(M289,#REF!,3,TRUE)*(BR289/1000000)</f>
        <v>#REF!</v>
      </c>
    </row>
    <row r="290" spans="1:72" ht="15" customHeight="1" x14ac:dyDescent="0.25">
      <c r="A290" s="8" t="s">
        <v>414</v>
      </c>
      <c r="B290" s="36">
        <v>1994</v>
      </c>
      <c r="C290" s="36" t="s">
        <v>1014</v>
      </c>
      <c r="D290" s="1" t="s">
        <v>1474</v>
      </c>
      <c r="E290" s="1" t="s">
        <v>1336</v>
      </c>
      <c r="F290" s="1" t="s">
        <v>195</v>
      </c>
      <c r="G290" s="38">
        <v>59715</v>
      </c>
      <c r="J290" s="1" t="s">
        <v>314</v>
      </c>
      <c r="K290" s="40">
        <v>0.09</v>
      </c>
      <c r="L290" s="36" t="s">
        <v>453</v>
      </c>
      <c r="M290" s="1" t="s">
        <v>1169</v>
      </c>
      <c r="N290" s="36" t="s">
        <v>45</v>
      </c>
      <c r="O290" s="41">
        <v>24</v>
      </c>
      <c r="Q290" s="43">
        <v>1095304</v>
      </c>
      <c r="R290" s="43"/>
      <c r="S290" s="43"/>
      <c r="T290" s="43"/>
      <c r="W290" s="8">
        <v>35282</v>
      </c>
      <c r="Y290" s="8">
        <f t="shared" si="54"/>
        <v>35282</v>
      </c>
      <c r="Z290" s="46">
        <f t="shared" si="55"/>
        <v>40395</v>
      </c>
      <c r="AA290" s="4">
        <v>25</v>
      </c>
      <c r="AB290" s="46">
        <f t="shared" si="60"/>
        <v>49526</v>
      </c>
      <c r="AC290" s="1" t="s">
        <v>623</v>
      </c>
      <c r="AD290" s="1" t="s">
        <v>605</v>
      </c>
      <c r="AE290" s="1" t="s">
        <v>331</v>
      </c>
      <c r="AF290" s="1" t="s">
        <v>479</v>
      </c>
      <c r="AG290" s="1" t="s">
        <v>472</v>
      </c>
      <c r="AH290" s="36">
        <v>59718</v>
      </c>
      <c r="AI290" s="47"/>
      <c r="AJ290" s="1" t="s">
        <v>422</v>
      </c>
      <c r="AU290" s="36">
        <v>24</v>
      </c>
      <c r="AX290" s="1">
        <v>8</v>
      </c>
      <c r="AY290" s="1">
        <v>16</v>
      </c>
      <c r="BR290" s="52">
        <v>1364978</v>
      </c>
      <c r="BS290" s="52" t="e">
        <f>VLOOKUP(M290,#REF!,2,TRUE)*(BR290/1000000)</f>
        <v>#REF!</v>
      </c>
      <c r="BT290" s="43" t="e">
        <f>VLOOKUP(M290,#REF!,3,TRUE)*(BR290/1000000)</f>
        <v>#REF!</v>
      </c>
    </row>
    <row r="291" spans="1:72" ht="15" customHeight="1" x14ac:dyDescent="0.25">
      <c r="A291" s="8" t="s">
        <v>414</v>
      </c>
      <c r="B291" s="36">
        <v>1994</v>
      </c>
      <c r="C291" s="36" t="s">
        <v>1014</v>
      </c>
      <c r="D291" s="1" t="s">
        <v>1859</v>
      </c>
      <c r="E291" s="1" t="s">
        <v>1335</v>
      </c>
      <c r="F291" s="1" t="s">
        <v>910</v>
      </c>
      <c r="G291" s="38">
        <v>59714</v>
      </c>
      <c r="J291" s="1" t="s">
        <v>314</v>
      </c>
      <c r="K291" s="40">
        <v>0.09</v>
      </c>
      <c r="L291" s="36" t="s">
        <v>453</v>
      </c>
      <c r="M291" s="1" t="s">
        <v>1169</v>
      </c>
      <c r="N291" s="36" t="s">
        <v>45</v>
      </c>
      <c r="O291" s="41">
        <v>32</v>
      </c>
      <c r="P291" s="36">
        <v>4</v>
      </c>
      <c r="Q291" s="43">
        <v>1339500</v>
      </c>
      <c r="R291" s="43"/>
      <c r="S291" s="43"/>
      <c r="T291" s="43"/>
      <c r="W291" s="8">
        <v>35088</v>
      </c>
      <c r="Y291" s="8">
        <f t="shared" si="54"/>
        <v>35088</v>
      </c>
      <c r="Z291" s="46">
        <f t="shared" si="55"/>
        <v>40202</v>
      </c>
      <c r="AA291" s="4">
        <v>15</v>
      </c>
      <c r="AB291" s="46">
        <f t="shared" si="60"/>
        <v>45681</v>
      </c>
      <c r="AC291" s="1" t="s">
        <v>656</v>
      </c>
      <c r="AD291" s="1" t="s">
        <v>605</v>
      </c>
      <c r="AE291" s="1" t="s">
        <v>331</v>
      </c>
      <c r="AF291" s="1" t="s">
        <v>479</v>
      </c>
      <c r="AG291" s="1" t="s">
        <v>472</v>
      </c>
      <c r="AH291" s="36">
        <v>59771</v>
      </c>
      <c r="AI291" s="47"/>
      <c r="AJ291" s="1" t="s">
        <v>163</v>
      </c>
      <c r="AU291" s="36">
        <v>32</v>
      </c>
      <c r="AX291" s="1">
        <v>8</v>
      </c>
      <c r="AY291" s="1">
        <v>24</v>
      </c>
      <c r="BR291" s="52">
        <v>1606868</v>
      </c>
      <c r="BS291" s="52" t="e">
        <f>VLOOKUP(M291,#REF!,2,TRUE)*(BR291/1000000)</f>
        <v>#REF!</v>
      </c>
      <c r="BT291" s="43" t="e">
        <f>VLOOKUP(M291,#REF!,3,TRUE)*(BR291/1000000)</f>
        <v>#REF!</v>
      </c>
    </row>
    <row r="292" spans="1:72" ht="15" customHeight="1" x14ac:dyDescent="0.25">
      <c r="A292" s="8" t="s">
        <v>406</v>
      </c>
      <c r="B292" s="36">
        <v>1994</v>
      </c>
      <c r="C292" s="36" t="s">
        <v>1014</v>
      </c>
      <c r="D292" s="1" t="s">
        <v>1920</v>
      </c>
      <c r="E292" s="1" t="s">
        <v>1334</v>
      </c>
      <c r="F292" s="1" t="s">
        <v>338</v>
      </c>
      <c r="G292" s="38">
        <v>59801</v>
      </c>
      <c r="J292" s="1" t="s">
        <v>338</v>
      </c>
      <c r="K292" s="40">
        <v>0.09</v>
      </c>
      <c r="L292" s="36" t="s">
        <v>453</v>
      </c>
      <c r="M292" s="1" t="s">
        <v>1169</v>
      </c>
      <c r="N292" s="36" t="s">
        <v>45</v>
      </c>
      <c r="O292" s="41">
        <v>6</v>
      </c>
      <c r="Q292" s="43">
        <v>391370</v>
      </c>
      <c r="R292" s="43"/>
      <c r="S292" s="43"/>
      <c r="T292" s="43"/>
      <c r="W292" s="8">
        <v>34943</v>
      </c>
      <c r="Y292" s="8">
        <f t="shared" si="54"/>
        <v>34943</v>
      </c>
      <c r="Z292" s="46">
        <f t="shared" si="55"/>
        <v>40057</v>
      </c>
      <c r="AA292" s="4">
        <v>15</v>
      </c>
      <c r="AB292" s="46">
        <f t="shared" si="60"/>
        <v>45536</v>
      </c>
      <c r="AC292" s="1" t="s">
        <v>282</v>
      </c>
      <c r="AE292" s="1" t="s">
        <v>312</v>
      </c>
      <c r="AF292" s="1" t="s">
        <v>20</v>
      </c>
      <c r="AG292" s="1" t="s">
        <v>472</v>
      </c>
      <c r="AH292" s="36">
        <v>59802</v>
      </c>
      <c r="AI292" s="47"/>
      <c r="AJ292" s="1" t="s">
        <v>413</v>
      </c>
      <c r="AU292" s="36">
        <v>6</v>
      </c>
      <c r="AY292" s="1">
        <v>2</v>
      </c>
      <c r="AZ292" s="1">
        <v>4</v>
      </c>
      <c r="BR292" s="52">
        <v>519770</v>
      </c>
      <c r="BS292" s="52" t="e">
        <f>VLOOKUP(M292,#REF!,2,TRUE)*(BR292/1000000)</f>
        <v>#REF!</v>
      </c>
      <c r="BT292" s="43" t="e">
        <f>VLOOKUP(M292,#REF!,3,TRUE)*(BR292/1000000)</f>
        <v>#REF!</v>
      </c>
    </row>
    <row r="293" spans="1:72" ht="15" customHeight="1" x14ac:dyDescent="0.25">
      <c r="A293" s="8" t="s">
        <v>406</v>
      </c>
      <c r="B293" s="36">
        <v>1994</v>
      </c>
      <c r="C293" s="36" t="s">
        <v>1014</v>
      </c>
      <c r="D293" s="1" t="s">
        <v>1919</v>
      </c>
      <c r="E293" s="1" t="s">
        <v>1333</v>
      </c>
      <c r="F293" s="1" t="s">
        <v>338</v>
      </c>
      <c r="G293" s="38">
        <v>59801</v>
      </c>
      <c r="J293" s="1" t="s">
        <v>338</v>
      </c>
      <c r="K293" s="40">
        <v>0.09</v>
      </c>
      <c r="L293" s="36" t="s">
        <v>453</v>
      </c>
      <c r="M293" s="1" t="s">
        <v>1169</v>
      </c>
      <c r="N293" s="36" t="s">
        <v>45</v>
      </c>
      <c r="O293" s="41">
        <v>6</v>
      </c>
      <c r="Q293" s="43">
        <v>389320</v>
      </c>
      <c r="R293" s="43"/>
      <c r="S293" s="43"/>
      <c r="T293" s="43"/>
      <c r="W293" s="8">
        <v>35020</v>
      </c>
      <c r="Y293" s="8">
        <f t="shared" si="54"/>
        <v>35020</v>
      </c>
      <c r="Z293" s="46">
        <f t="shared" si="55"/>
        <v>40134</v>
      </c>
      <c r="AA293" s="4">
        <v>15</v>
      </c>
      <c r="AB293" s="46">
        <f t="shared" si="60"/>
        <v>45613</v>
      </c>
      <c r="AC293" s="1" t="s">
        <v>282</v>
      </c>
      <c r="AE293" s="1" t="s">
        <v>312</v>
      </c>
      <c r="AF293" s="1" t="s">
        <v>20</v>
      </c>
      <c r="AG293" s="1" t="s">
        <v>472</v>
      </c>
      <c r="AH293" s="36">
        <v>59802</v>
      </c>
      <c r="AI293" s="47"/>
      <c r="AJ293" s="1" t="s">
        <v>413</v>
      </c>
      <c r="AU293" s="36">
        <v>6</v>
      </c>
      <c r="AY293" s="1">
        <v>2</v>
      </c>
      <c r="AZ293" s="1">
        <v>4</v>
      </c>
      <c r="BR293" s="52">
        <v>513242</v>
      </c>
      <c r="BS293" s="52" t="e">
        <f>VLOOKUP(M293,#REF!,2,TRUE)*(BR293/1000000)</f>
        <v>#REF!</v>
      </c>
      <c r="BT293" s="43" t="e">
        <f>VLOOKUP(M293,#REF!,3,TRUE)*(BR293/1000000)</f>
        <v>#REF!</v>
      </c>
    </row>
    <row r="294" spans="1:72" x14ac:dyDescent="0.25">
      <c r="A294" s="8" t="s">
        <v>406</v>
      </c>
      <c r="B294" s="36">
        <v>1994</v>
      </c>
      <c r="C294" s="36" t="s">
        <v>1014</v>
      </c>
      <c r="D294" s="1" t="s">
        <v>1473</v>
      </c>
      <c r="E294" s="1" t="s">
        <v>1332</v>
      </c>
      <c r="F294" s="1" t="s">
        <v>338</v>
      </c>
      <c r="G294" s="38">
        <v>59801</v>
      </c>
      <c r="J294" s="1" t="s">
        <v>338</v>
      </c>
      <c r="K294" s="40">
        <v>0.09</v>
      </c>
      <c r="L294" s="36" t="s">
        <v>453</v>
      </c>
      <c r="M294" s="1" t="s">
        <v>1169</v>
      </c>
      <c r="N294" s="36" t="s">
        <v>45</v>
      </c>
      <c r="O294" s="41">
        <v>6</v>
      </c>
      <c r="Q294" s="43">
        <v>383140</v>
      </c>
      <c r="R294" s="43"/>
      <c r="S294" s="43"/>
      <c r="T294" s="43"/>
      <c r="W294" s="8">
        <v>34909</v>
      </c>
      <c r="Y294" s="8">
        <f t="shared" si="54"/>
        <v>34909</v>
      </c>
      <c r="Z294" s="46">
        <f t="shared" si="55"/>
        <v>40023</v>
      </c>
      <c r="AA294" s="4">
        <v>15</v>
      </c>
      <c r="AB294" s="46">
        <f t="shared" si="60"/>
        <v>45502</v>
      </c>
      <c r="AC294" s="1" t="s">
        <v>282</v>
      </c>
      <c r="AE294" s="1" t="s">
        <v>312</v>
      </c>
      <c r="AF294" s="1" t="s">
        <v>20</v>
      </c>
      <c r="AG294" s="1" t="s">
        <v>472</v>
      </c>
      <c r="AH294" s="36">
        <v>59802</v>
      </c>
      <c r="AI294" s="47"/>
      <c r="AJ294" s="1" t="s">
        <v>413</v>
      </c>
      <c r="AU294" s="36">
        <v>6</v>
      </c>
      <c r="AY294" s="1">
        <v>2</v>
      </c>
      <c r="AZ294" s="1">
        <v>4</v>
      </c>
      <c r="BR294" s="52">
        <v>488367</v>
      </c>
      <c r="BS294" s="52" t="e">
        <f>VLOOKUP(M294,#REF!,2,TRUE)*(BR294/1000000)</f>
        <v>#REF!</v>
      </c>
      <c r="BT294" s="43" t="e">
        <f>VLOOKUP(M294,#REF!,3,TRUE)*(BR294/1000000)</f>
        <v>#REF!</v>
      </c>
    </row>
    <row r="295" spans="1:72" x14ac:dyDescent="0.25">
      <c r="A295" s="8" t="s">
        <v>407</v>
      </c>
      <c r="B295" s="36">
        <v>1994</v>
      </c>
      <c r="C295" s="36" t="s">
        <v>1014</v>
      </c>
      <c r="D295" s="1" t="s">
        <v>1472</v>
      </c>
      <c r="E295" s="1" t="s">
        <v>1331</v>
      </c>
      <c r="F295" s="1" t="s">
        <v>989</v>
      </c>
      <c r="G295" s="38">
        <v>59047</v>
      </c>
      <c r="J295" s="1" t="s">
        <v>412</v>
      </c>
      <c r="K295" s="40">
        <v>0.09</v>
      </c>
      <c r="L295" s="36" t="s">
        <v>453</v>
      </c>
      <c r="M295" s="1" t="s">
        <v>307</v>
      </c>
      <c r="N295" s="36" t="s">
        <v>45</v>
      </c>
      <c r="O295" s="41">
        <v>24</v>
      </c>
      <c r="Q295" s="43">
        <v>326440</v>
      </c>
      <c r="R295" s="43"/>
      <c r="S295" s="43"/>
      <c r="T295" s="43"/>
      <c r="W295" s="8">
        <v>35148</v>
      </c>
      <c r="Y295" s="8">
        <f t="shared" ref="Y295:Y347" si="61">IF(W295&gt;X295,W295,X295)</f>
        <v>35148</v>
      </c>
      <c r="Z295" s="46">
        <f t="shared" ref="Z295:Z347" si="62">DATE(YEAR(Y295)+14,MONTH(Y295),DAY(Y295))</f>
        <v>40261</v>
      </c>
      <c r="AA295" s="4">
        <v>15</v>
      </c>
      <c r="AB295" s="46">
        <f t="shared" si="60"/>
        <v>45740</v>
      </c>
      <c r="AC295" s="1" t="s">
        <v>136</v>
      </c>
      <c r="AD295" s="1" t="s">
        <v>281</v>
      </c>
      <c r="AE295" s="1" t="s">
        <v>224</v>
      </c>
      <c r="AF295" s="1" t="s">
        <v>123</v>
      </c>
      <c r="AG295" s="1" t="s">
        <v>478</v>
      </c>
      <c r="AH295" s="36">
        <v>83705</v>
      </c>
      <c r="AI295" s="47"/>
      <c r="AJ295" s="1" t="s">
        <v>409</v>
      </c>
      <c r="AU295" s="36">
        <v>24</v>
      </c>
      <c r="AX295" s="1">
        <v>24</v>
      </c>
      <c r="BR295" s="52">
        <v>937516</v>
      </c>
      <c r="BS295" s="52" t="e">
        <f>VLOOKUP(M295,#REF!,2,TRUE)*(BR295/1000000)</f>
        <v>#REF!</v>
      </c>
      <c r="BT295" s="43" t="e">
        <f>VLOOKUP(M295,#REF!,3,TRUE)*(BR295/1000000)</f>
        <v>#REF!</v>
      </c>
    </row>
    <row r="296" spans="1:72" x14ac:dyDescent="0.25">
      <c r="A296" s="8" t="s">
        <v>407</v>
      </c>
      <c r="B296" s="36">
        <v>1994</v>
      </c>
      <c r="C296" s="36" t="s">
        <v>1014</v>
      </c>
      <c r="D296" s="1" t="s">
        <v>1471</v>
      </c>
      <c r="E296" s="1" t="s">
        <v>1330</v>
      </c>
      <c r="F296" s="1" t="s">
        <v>1267</v>
      </c>
      <c r="G296" s="38">
        <v>59011</v>
      </c>
      <c r="J296" s="1" t="s">
        <v>411</v>
      </c>
      <c r="K296" s="40">
        <v>0.09</v>
      </c>
      <c r="L296" s="36" t="s">
        <v>453</v>
      </c>
      <c r="M296" s="1" t="s">
        <v>307</v>
      </c>
      <c r="N296" s="36" t="s">
        <v>45</v>
      </c>
      <c r="O296" s="41">
        <v>24</v>
      </c>
      <c r="Q296" s="43">
        <v>361860</v>
      </c>
      <c r="R296" s="43"/>
      <c r="S296" s="43"/>
      <c r="T296" s="43"/>
      <c r="W296" s="8">
        <v>35148</v>
      </c>
      <c r="Y296" s="8">
        <f t="shared" si="61"/>
        <v>35148</v>
      </c>
      <c r="Z296" s="46">
        <f t="shared" si="62"/>
        <v>40261</v>
      </c>
      <c r="AA296" s="4">
        <v>16</v>
      </c>
      <c r="AB296" s="46">
        <f t="shared" si="60"/>
        <v>46105</v>
      </c>
      <c r="AC296" s="1" t="s">
        <v>136</v>
      </c>
      <c r="AD296" s="1" t="s">
        <v>281</v>
      </c>
      <c r="AE296" s="1" t="s">
        <v>224</v>
      </c>
      <c r="AF296" s="1" t="s">
        <v>123</v>
      </c>
      <c r="AG296" s="1" t="s">
        <v>478</v>
      </c>
      <c r="AH296" s="36">
        <v>83705</v>
      </c>
      <c r="AI296" s="47"/>
      <c r="AJ296" s="1" t="s">
        <v>229</v>
      </c>
      <c r="AU296" s="36">
        <v>24</v>
      </c>
      <c r="AX296" s="1">
        <v>24</v>
      </c>
      <c r="BR296" s="52">
        <v>1149013</v>
      </c>
      <c r="BS296" s="52" t="e">
        <f>VLOOKUP(M296,#REF!,2,TRUE)*(BR296/1000000)</f>
        <v>#REF!</v>
      </c>
      <c r="BT296" s="43" t="e">
        <f>VLOOKUP(M296,#REF!,3,TRUE)*(BR296/1000000)</f>
        <v>#REF!</v>
      </c>
    </row>
    <row r="297" spans="1:72" x14ac:dyDescent="0.25">
      <c r="A297" s="8" t="s">
        <v>407</v>
      </c>
      <c r="B297" s="36">
        <v>1994</v>
      </c>
      <c r="C297" s="36" t="s">
        <v>1014</v>
      </c>
      <c r="D297" s="1" t="s">
        <v>1470</v>
      </c>
      <c r="E297" s="1" t="s">
        <v>1329</v>
      </c>
      <c r="F297" s="1" t="s">
        <v>1266</v>
      </c>
      <c r="G297" s="38">
        <v>59038</v>
      </c>
      <c r="J297" s="1" t="s">
        <v>410</v>
      </c>
      <c r="K297" s="40">
        <v>0.09</v>
      </c>
      <c r="L297" s="36" t="s">
        <v>453</v>
      </c>
      <c r="M297" s="1" t="s">
        <v>1169</v>
      </c>
      <c r="N297" s="36" t="s">
        <v>45</v>
      </c>
      <c r="O297" s="41">
        <v>12</v>
      </c>
      <c r="Q297" s="43">
        <v>283730</v>
      </c>
      <c r="R297" s="43"/>
      <c r="S297" s="43"/>
      <c r="T297" s="43"/>
      <c r="W297" s="8">
        <v>35148</v>
      </c>
      <c r="Y297" s="8">
        <f t="shared" si="61"/>
        <v>35148</v>
      </c>
      <c r="Z297" s="46">
        <f t="shared" si="62"/>
        <v>40261</v>
      </c>
      <c r="AA297" s="4">
        <v>16</v>
      </c>
      <c r="AB297" s="46">
        <f t="shared" si="60"/>
        <v>46105</v>
      </c>
      <c r="AC297" s="1" t="s">
        <v>136</v>
      </c>
      <c r="AD297" s="1" t="s">
        <v>281</v>
      </c>
      <c r="AE297" s="1" t="s">
        <v>224</v>
      </c>
      <c r="AF297" s="1" t="s">
        <v>123</v>
      </c>
      <c r="AG297" s="1" t="s">
        <v>478</v>
      </c>
      <c r="AH297" s="36">
        <v>83705</v>
      </c>
      <c r="AI297" s="47"/>
      <c r="AJ297" s="1" t="s">
        <v>409</v>
      </c>
      <c r="AU297" s="36">
        <v>12</v>
      </c>
      <c r="AX297" s="1">
        <v>8</v>
      </c>
      <c r="AY297" s="1">
        <v>4</v>
      </c>
      <c r="BR297" s="52">
        <v>765857</v>
      </c>
      <c r="BS297" s="52" t="e">
        <f>VLOOKUP(M297,#REF!,2,TRUE)*(BR297/1000000)</f>
        <v>#REF!</v>
      </c>
      <c r="BT297" s="43" t="e">
        <f>VLOOKUP(M297,#REF!,3,TRUE)*(BR297/1000000)</f>
        <v>#REF!</v>
      </c>
    </row>
    <row r="298" spans="1:72" s="93" customFormat="1" x14ac:dyDescent="0.25">
      <c r="A298" s="8" t="s">
        <v>407</v>
      </c>
      <c r="B298" s="36">
        <v>1994</v>
      </c>
      <c r="C298" s="36" t="s">
        <v>1014</v>
      </c>
      <c r="D298" s="1" t="s">
        <v>1905</v>
      </c>
      <c r="E298" s="1" t="s">
        <v>1328</v>
      </c>
      <c r="F298" s="1" t="s">
        <v>1265</v>
      </c>
      <c r="G298" s="38">
        <v>59327</v>
      </c>
      <c r="H298" s="39"/>
      <c r="I298" s="39"/>
      <c r="J298" s="1" t="s">
        <v>408</v>
      </c>
      <c r="K298" s="40">
        <v>0.09</v>
      </c>
      <c r="L298" s="36" t="s">
        <v>453</v>
      </c>
      <c r="M298" s="1" t="s">
        <v>307</v>
      </c>
      <c r="N298" s="36" t="s">
        <v>45</v>
      </c>
      <c r="O298" s="41">
        <v>12</v>
      </c>
      <c r="P298" s="36"/>
      <c r="Q298" s="43">
        <v>229150</v>
      </c>
      <c r="R298" s="43"/>
      <c r="S298" s="43"/>
      <c r="T298" s="43"/>
      <c r="U298" s="53"/>
      <c r="V298" s="45"/>
      <c r="W298" s="8">
        <v>35148</v>
      </c>
      <c r="X298" s="8"/>
      <c r="Y298" s="8">
        <f t="shared" si="61"/>
        <v>35148</v>
      </c>
      <c r="Z298" s="46">
        <f t="shared" si="62"/>
        <v>40261</v>
      </c>
      <c r="AA298" s="4">
        <v>15</v>
      </c>
      <c r="AB298" s="46">
        <f t="shared" si="60"/>
        <v>45740</v>
      </c>
      <c r="AC298" s="1" t="s">
        <v>136</v>
      </c>
      <c r="AD298" s="1" t="s">
        <v>281</v>
      </c>
      <c r="AE298" s="1" t="s">
        <v>225</v>
      </c>
      <c r="AF298" s="1" t="s">
        <v>123</v>
      </c>
      <c r="AG298" s="1" t="s">
        <v>478</v>
      </c>
      <c r="AH298" s="36">
        <v>83705</v>
      </c>
      <c r="AI298" s="47"/>
      <c r="AJ298" s="1" t="s">
        <v>409</v>
      </c>
      <c r="AK298" s="1"/>
      <c r="AL298" s="1"/>
      <c r="AM298" s="1"/>
      <c r="AN298" s="1"/>
      <c r="AO298" s="1"/>
      <c r="AP298" s="1"/>
      <c r="AQ298" s="1"/>
      <c r="AR298" s="1"/>
      <c r="AS298" s="1"/>
      <c r="AT298" s="56"/>
      <c r="AU298" s="36">
        <v>12</v>
      </c>
      <c r="AV298" s="1"/>
      <c r="AW298" s="1"/>
      <c r="AX298" s="1">
        <v>4</v>
      </c>
      <c r="AY298" s="1">
        <v>8</v>
      </c>
      <c r="AZ298" s="1"/>
      <c r="BA298" s="1"/>
      <c r="BB298" s="1"/>
      <c r="BC298" s="1"/>
      <c r="BD298" s="1"/>
      <c r="BE298" s="1"/>
      <c r="BF298" s="92"/>
      <c r="BG298" s="92"/>
      <c r="BH298" s="92"/>
      <c r="BI298" s="92"/>
      <c r="BJ298" s="92"/>
      <c r="BK298" s="92"/>
      <c r="BL298" s="92"/>
      <c r="BM298" s="92"/>
      <c r="BN298" s="92"/>
      <c r="BR298" s="52">
        <v>820973</v>
      </c>
      <c r="BS298" s="52" t="e">
        <f>VLOOKUP(M298,#REF!,2,TRUE)*(BR298/1000000)</f>
        <v>#REF!</v>
      </c>
      <c r="BT298" s="43" t="e">
        <f>VLOOKUP(M298,#REF!,3,TRUE)*(BR298/1000000)</f>
        <v>#REF!</v>
      </c>
    </row>
    <row r="299" spans="1:72" x14ac:dyDescent="0.25">
      <c r="A299" s="8" t="s">
        <v>407</v>
      </c>
      <c r="B299" s="36">
        <v>1994</v>
      </c>
      <c r="C299" s="36" t="s">
        <v>1014</v>
      </c>
      <c r="D299" s="1" t="s">
        <v>1469</v>
      </c>
      <c r="E299" s="1" t="s">
        <v>1327</v>
      </c>
      <c r="F299" s="1" t="s">
        <v>1265</v>
      </c>
      <c r="G299" s="38">
        <v>59327</v>
      </c>
      <c r="J299" s="1" t="s">
        <v>408</v>
      </c>
      <c r="K299" s="40">
        <v>0.09</v>
      </c>
      <c r="L299" s="36" t="s">
        <v>453</v>
      </c>
      <c r="M299" s="1" t="s">
        <v>307</v>
      </c>
      <c r="N299" s="36" t="s">
        <v>45</v>
      </c>
      <c r="O299" s="41">
        <v>24</v>
      </c>
      <c r="P299" s="36">
        <v>1</v>
      </c>
      <c r="Q299" s="43">
        <v>313130</v>
      </c>
      <c r="R299" s="43"/>
      <c r="S299" s="43"/>
      <c r="T299" s="43"/>
      <c r="W299" s="8">
        <v>35148</v>
      </c>
      <c r="Y299" s="8">
        <f t="shared" si="61"/>
        <v>35148</v>
      </c>
      <c r="Z299" s="46">
        <f t="shared" si="62"/>
        <v>40261</v>
      </c>
      <c r="AA299" s="4">
        <v>15</v>
      </c>
      <c r="AB299" s="46">
        <f t="shared" si="60"/>
        <v>45740</v>
      </c>
      <c r="AC299" s="1" t="s">
        <v>136</v>
      </c>
      <c r="AD299" s="1" t="s">
        <v>281</v>
      </c>
      <c r="AE299" s="1" t="s">
        <v>224</v>
      </c>
      <c r="AF299" s="1" t="s">
        <v>123</v>
      </c>
      <c r="AG299" s="1" t="s">
        <v>478</v>
      </c>
      <c r="AH299" s="36">
        <v>83705</v>
      </c>
      <c r="AI299" s="47"/>
      <c r="AJ299" s="1" t="s">
        <v>409</v>
      </c>
      <c r="AU299" s="36">
        <v>24</v>
      </c>
      <c r="AX299" s="1">
        <v>24</v>
      </c>
      <c r="BR299" s="52">
        <v>903418</v>
      </c>
      <c r="BS299" s="52" t="e">
        <f>VLOOKUP(M299,#REF!,2,TRUE)*(BR299/1000000)</f>
        <v>#REF!</v>
      </c>
      <c r="BT299" s="43" t="e">
        <f>VLOOKUP(M299,#REF!,3,TRUE)*(BR299/1000000)</f>
        <v>#REF!</v>
      </c>
    </row>
    <row r="300" spans="1:72" x14ac:dyDescent="0.25">
      <c r="A300" s="9" t="s">
        <v>407</v>
      </c>
      <c r="B300" s="92">
        <v>1994</v>
      </c>
      <c r="C300" s="92" t="s">
        <v>1576</v>
      </c>
      <c r="D300" s="93" t="s">
        <v>1575</v>
      </c>
      <c r="E300" s="93" t="s">
        <v>1326</v>
      </c>
      <c r="F300" s="93" t="s">
        <v>338</v>
      </c>
      <c r="G300" s="95">
        <v>59801</v>
      </c>
      <c r="H300" s="114"/>
      <c r="I300" s="114"/>
      <c r="J300" s="93" t="s">
        <v>338</v>
      </c>
      <c r="K300" s="97">
        <v>0.09</v>
      </c>
      <c r="L300" s="92" t="s">
        <v>453</v>
      </c>
      <c r="M300" s="93" t="s">
        <v>307</v>
      </c>
      <c r="N300" s="92" t="s">
        <v>45</v>
      </c>
      <c r="O300" s="98">
        <v>60</v>
      </c>
      <c r="P300" s="92"/>
      <c r="Q300" s="102">
        <v>3328000</v>
      </c>
      <c r="R300" s="102"/>
      <c r="S300" s="102"/>
      <c r="T300" s="102"/>
      <c r="U300" s="100"/>
      <c r="V300" s="101"/>
      <c r="W300" s="8">
        <v>35034</v>
      </c>
      <c r="Y300" s="8">
        <f t="shared" si="61"/>
        <v>35034</v>
      </c>
      <c r="Z300" s="46">
        <f t="shared" si="62"/>
        <v>40148</v>
      </c>
      <c r="AA300" s="5">
        <v>15</v>
      </c>
      <c r="AB300" s="46">
        <f t="shared" si="60"/>
        <v>45627</v>
      </c>
      <c r="AC300" s="93" t="s">
        <v>199</v>
      </c>
      <c r="AD300" s="93" t="s">
        <v>345</v>
      </c>
      <c r="AE300" s="93" t="s">
        <v>301</v>
      </c>
      <c r="AF300" s="93" t="s">
        <v>20</v>
      </c>
      <c r="AG300" s="93" t="s">
        <v>472</v>
      </c>
      <c r="AH300" s="92">
        <v>59801</v>
      </c>
      <c r="AI300" s="47"/>
      <c r="AJ300" s="93" t="s">
        <v>200</v>
      </c>
      <c r="AK300" s="93"/>
      <c r="AL300" s="93"/>
      <c r="AM300" s="93"/>
      <c r="AN300" s="93"/>
      <c r="AO300" s="93"/>
      <c r="AP300" s="93"/>
      <c r="AQ300" s="93"/>
      <c r="AR300" s="93"/>
      <c r="AS300" s="93"/>
      <c r="AT300" s="103"/>
      <c r="AU300" s="92">
        <v>60</v>
      </c>
      <c r="AV300" s="93"/>
      <c r="AW300" s="93">
        <v>4</v>
      </c>
      <c r="AX300" s="93">
        <v>44</v>
      </c>
      <c r="AY300" s="93">
        <v>12</v>
      </c>
      <c r="AZ300" s="93"/>
      <c r="BA300" s="93"/>
      <c r="BB300" s="93"/>
      <c r="BC300" s="93"/>
      <c r="BD300" s="93"/>
      <c r="BE300" s="93"/>
      <c r="BR300" s="52">
        <v>4548549</v>
      </c>
      <c r="BS300" s="52" t="e">
        <f>VLOOKUP(M300,#REF!,2,TRUE)*(BR300/1000000)</f>
        <v>#REF!</v>
      </c>
      <c r="BT300" s="43" t="e">
        <f>VLOOKUP(M300,#REF!,3,TRUE)*(BR300/1000000)</f>
        <v>#REF!</v>
      </c>
    </row>
    <row r="301" spans="1:72" ht="15" customHeight="1" x14ac:dyDescent="0.25">
      <c r="A301" s="8" t="s">
        <v>407</v>
      </c>
      <c r="B301" s="36">
        <v>1994</v>
      </c>
      <c r="C301" s="36" t="s">
        <v>1014</v>
      </c>
      <c r="D301" s="1" t="s">
        <v>1468</v>
      </c>
      <c r="E301" s="1" t="s">
        <v>1325</v>
      </c>
      <c r="F301" s="1" t="s">
        <v>46</v>
      </c>
      <c r="G301" s="38">
        <v>59901</v>
      </c>
      <c r="J301" s="1" t="s">
        <v>343</v>
      </c>
      <c r="K301" s="40">
        <v>0.09</v>
      </c>
      <c r="L301" s="36" t="s">
        <v>453</v>
      </c>
      <c r="M301" s="1" t="s">
        <v>1169</v>
      </c>
      <c r="N301" s="36" t="s">
        <v>45</v>
      </c>
      <c r="O301" s="41">
        <v>36</v>
      </c>
      <c r="Q301" s="43">
        <v>1344140</v>
      </c>
      <c r="R301" s="43"/>
      <c r="S301" s="43"/>
      <c r="T301" s="43"/>
      <c r="W301" s="8">
        <v>35061</v>
      </c>
      <c r="Y301" s="8">
        <f t="shared" si="61"/>
        <v>35061</v>
      </c>
      <c r="Z301" s="46">
        <f t="shared" si="62"/>
        <v>40175</v>
      </c>
      <c r="AA301" s="4">
        <v>36</v>
      </c>
      <c r="AB301" s="46">
        <f t="shared" si="60"/>
        <v>53324</v>
      </c>
      <c r="AC301" s="1" t="s">
        <v>659</v>
      </c>
      <c r="AD301" s="1" t="s">
        <v>660</v>
      </c>
      <c r="AE301" s="1" t="s">
        <v>98</v>
      </c>
      <c r="AF301" s="1" t="s">
        <v>129</v>
      </c>
      <c r="AG301" s="1" t="s">
        <v>472</v>
      </c>
      <c r="AH301" s="36">
        <v>59901</v>
      </c>
      <c r="AI301" s="47"/>
      <c r="AJ301" s="1" t="s">
        <v>571</v>
      </c>
      <c r="AU301" s="36">
        <v>36</v>
      </c>
      <c r="AW301" s="1">
        <f>5+16</f>
        <v>21</v>
      </c>
      <c r="AX301" s="1">
        <f>4+10</f>
        <v>14</v>
      </c>
      <c r="AY301" s="1">
        <v>1</v>
      </c>
      <c r="BR301" s="52">
        <v>1356486</v>
      </c>
      <c r="BS301" s="52" t="e">
        <f>VLOOKUP(M301,#REF!,2,TRUE)*(BR301/1000000)</f>
        <v>#REF!</v>
      </c>
      <c r="BT301" s="43" t="e">
        <f>VLOOKUP(M301,#REF!,3,TRUE)*(BR301/1000000)</f>
        <v>#REF!</v>
      </c>
    </row>
    <row r="302" spans="1:72" x14ac:dyDescent="0.25">
      <c r="A302" s="8" t="s">
        <v>407</v>
      </c>
      <c r="B302" s="36">
        <v>1994</v>
      </c>
      <c r="C302" s="36" t="s">
        <v>1014</v>
      </c>
      <c r="D302" s="1" t="s">
        <v>1467</v>
      </c>
      <c r="E302" s="1" t="s">
        <v>1324</v>
      </c>
      <c r="F302" s="1" t="s">
        <v>192</v>
      </c>
      <c r="G302" s="38">
        <v>59103</v>
      </c>
      <c r="J302" s="1" t="s">
        <v>300</v>
      </c>
      <c r="K302" s="40">
        <v>0.09</v>
      </c>
      <c r="L302" s="36" t="s">
        <v>453</v>
      </c>
      <c r="M302" s="1" t="s">
        <v>1169</v>
      </c>
      <c r="N302" s="36" t="s">
        <v>45</v>
      </c>
      <c r="O302" s="41">
        <v>26</v>
      </c>
      <c r="P302" s="36">
        <v>4</v>
      </c>
      <c r="Q302" s="43">
        <v>1733410</v>
      </c>
      <c r="R302" s="43"/>
      <c r="S302" s="43"/>
      <c r="T302" s="43"/>
      <c r="W302" s="8">
        <v>35431</v>
      </c>
      <c r="Y302" s="8">
        <f t="shared" si="61"/>
        <v>35431</v>
      </c>
      <c r="Z302" s="46">
        <f t="shared" si="62"/>
        <v>40544</v>
      </c>
      <c r="AA302" s="4">
        <v>15</v>
      </c>
      <c r="AB302" s="46">
        <f t="shared" si="60"/>
        <v>46023</v>
      </c>
      <c r="AC302" s="1" t="s">
        <v>233</v>
      </c>
      <c r="AD302" s="1" t="s">
        <v>246</v>
      </c>
      <c r="AE302" s="1" t="s">
        <v>16</v>
      </c>
      <c r="AF302" s="1" t="s">
        <v>17</v>
      </c>
      <c r="AG302" s="1" t="s">
        <v>472</v>
      </c>
      <c r="AH302" s="36" t="s">
        <v>18</v>
      </c>
      <c r="AI302" s="47"/>
      <c r="AJ302" s="1" t="s">
        <v>140</v>
      </c>
      <c r="AU302" s="36">
        <v>26</v>
      </c>
      <c r="AY302" s="1">
        <v>12</v>
      </c>
      <c r="AZ302" s="1">
        <v>10</v>
      </c>
      <c r="BA302" s="1">
        <v>4</v>
      </c>
      <c r="BR302" s="52">
        <v>2417862</v>
      </c>
      <c r="BS302" s="52" t="e">
        <f>VLOOKUP(M302,#REF!,2,TRUE)*(BR302/1000000)</f>
        <v>#REF!</v>
      </c>
      <c r="BT302" s="43" t="e">
        <f>VLOOKUP(M302,#REF!,3,TRUE)*(BR302/1000000)</f>
        <v>#REF!</v>
      </c>
    </row>
    <row r="303" spans="1:72" x14ac:dyDescent="0.25">
      <c r="A303" s="9" t="s">
        <v>406</v>
      </c>
      <c r="B303" s="92">
        <v>1994</v>
      </c>
      <c r="C303" s="92" t="s">
        <v>1576</v>
      </c>
      <c r="D303" s="93" t="s">
        <v>1574</v>
      </c>
      <c r="E303" s="93" t="s">
        <v>1323</v>
      </c>
      <c r="F303" s="93" t="s">
        <v>1264</v>
      </c>
      <c r="G303" s="95">
        <v>59911</v>
      </c>
      <c r="H303" s="114"/>
      <c r="I303" s="114"/>
      <c r="J303" s="93" t="s">
        <v>343</v>
      </c>
      <c r="K303" s="97">
        <v>0.09</v>
      </c>
      <c r="L303" s="92" t="s">
        <v>453</v>
      </c>
      <c r="M303" s="93" t="s">
        <v>1169</v>
      </c>
      <c r="N303" s="92" t="s">
        <v>45</v>
      </c>
      <c r="O303" s="98">
        <v>32</v>
      </c>
      <c r="P303" s="92"/>
      <c r="Q303" s="102">
        <v>469630</v>
      </c>
      <c r="R303" s="102"/>
      <c r="S303" s="102"/>
      <c r="T303" s="102"/>
      <c r="U303" s="100"/>
      <c r="V303" s="101"/>
      <c r="W303" s="8">
        <v>34547</v>
      </c>
      <c r="Y303" s="8">
        <f t="shared" si="61"/>
        <v>34547</v>
      </c>
      <c r="AA303" s="5" t="s">
        <v>1898</v>
      </c>
      <c r="AC303" s="93" t="s">
        <v>295</v>
      </c>
      <c r="AD303" s="93" t="s">
        <v>572</v>
      </c>
      <c r="AE303" s="93" t="s">
        <v>322</v>
      </c>
      <c r="AF303" s="93" t="s">
        <v>36</v>
      </c>
      <c r="AG303" s="93" t="s">
        <v>478</v>
      </c>
      <c r="AH303" s="92">
        <v>83835</v>
      </c>
      <c r="AI303" s="47"/>
      <c r="AJ303" s="93" t="s">
        <v>689</v>
      </c>
      <c r="AK303" s="93"/>
      <c r="AL303" s="93"/>
      <c r="AM303" s="93"/>
      <c r="AN303" s="93"/>
      <c r="AO303" s="93"/>
      <c r="AP303" s="93"/>
      <c r="AQ303" s="93"/>
      <c r="AR303" s="93"/>
      <c r="AS303" s="93"/>
      <c r="AT303" s="103"/>
      <c r="AU303" s="92">
        <v>32</v>
      </c>
      <c r="AV303" s="93"/>
      <c r="AW303" s="93"/>
      <c r="AX303" s="93">
        <v>8</v>
      </c>
      <c r="AY303" s="93">
        <v>20</v>
      </c>
      <c r="AZ303" s="93">
        <v>4</v>
      </c>
      <c r="BA303" s="93"/>
      <c r="BB303" s="93"/>
      <c r="BC303" s="93"/>
      <c r="BD303" s="93"/>
      <c r="BE303" s="93"/>
      <c r="BR303" s="52">
        <v>1488538</v>
      </c>
      <c r="BS303" s="52" t="e">
        <f>VLOOKUP(M303,#REF!,2,TRUE)*(BR303/1000000)</f>
        <v>#REF!</v>
      </c>
      <c r="BT303" s="43" t="e">
        <f>VLOOKUP(M303,#REF!,3,TRUE)*(BR303/1000000)</f>
        <v>#REF!</v>
      </c>
    </row>
    <row r="304" spans="1:72" ht="15" customHeight="1" x14ac:dyDescent="0.25">
      <c r="A304" s="8" t="s">
        <v>405</v>
      </c>
      <c r="B304" s="36">
        <v>1994</v>
      </c>
      <c r="C304" s="36" t="s">
        <v>1014</v>
      </c>
      <c r="D304" s="1" t="s">
        <v>1466</v>
      </c>
      <c r="E304" s="1" t="s">
        <v>1322</v>
      </c>
      <c r="F304" s="1" t="s">
        <v>46</v>
      </c>
      <c r="G304" s="38">
        <v>59901</v>
      </c>
      <c r="J304" s="1" t="s">
        <v>343</v>
      </c>
      <c r="K304" s="40">
        <v>0.09</v>
      </c>
      <c r="L304" s="36" t="s">
        <v>453</v>
      </c>
      <c r="M304" s="1" t="s">
        <v>1169</v>
      </c>
      <c r="N304" s="36" t="s">
        <v>45</v>
      </c>
      <c r="O304" s="41">
        <v>34</v>
      </c>
      <c r="Q304" s="43">
        <v>685330</v>
      </c>
      <c r="R304" s="43"/>
      <c r="S304" s="43"/>
      <c r="T304" s="43"/>
      <c r="W304" s="8">
        <v>34838</v>
      </c>
      <c r="Y304" s="8">
        <f t="shared" si="61"/>
        <v>34838</v>
      </c>
      <c r="Z304" s="46">
        <f t="shared" si="62"/>
        <v>39952</v>
      </c>
      <c r="AA304" s="4">
        <v>16</v>
      </c>
      <c r="AB304" s="46">
        <f>DATE(YEAR(Z304)+AA304,MONTH(Z304),DAY(Z304))</f>
        <v>45796</v>
      </c>
      <c r="AC304" s="1" t="s">
        <v>263</v>
      </c>
      <c r="AD304" s="1" t="s">
        <v>279</v>
      </c>
      <c r="AE304" s="1" t="s">
        <v>549</v>
      </c>
      <c r="AF304" s="1" t="s">
        <v>550</v>
      </c>
      <c r="AG304" s="1" t="s">
        <v>475</v>
      </c>
      <c r="AH304" s="36">
        <v>95604</v>
      </c>
      <c r="AI304" s="47"/>
      <c r="AJ304" s="1" t="s">
        <v>351</v>
      </c>
      <c r="AU304" s="36">
        <v>33</v>
      </c>
      <c r="AX304" s="1">
        <v>8</v>
      </c>
      <c r="AY304" s="1">
        <v>26</v>
      </c>
      <c r="BR304" s="52">
        <v>1701545</v>
      </c>
      <c r="BS304" s="52" t="e">
        <f>VLOOKUP(M304,#REF!,2,TRUE)*(BR304/1000000)</f>
        <v>#REF!</v>
      </c>
      <c r="BT304" s="43" t="e">
        <f>VLOOKUP(M304,#REF!,3,TRUE)*(BR304/1000000)</f>
        <v>#REF!</v>
      </c>
    </row>
    <row r="305" spans="1:72" x14ac:dyDescent="0.25">
      <c r="A305" s="8" t="s">
        <v>399</v>
      </c>
      <c r="B305" s="36">
        <v>1993</v>
      </c>
      <c r="C305" s="36" t="s">
        <v>1014</v>
      </c>
      <c r="D305" s="1" t="s">
        <v>1465</v>
      </c>
      <c r="E305" s="1" t="s">
        <v>1321</v>
      </c>
      <c r="F305" s="1" t="s">
        <v>887</v>
      </c>
      <c r="G305" s="38">
        <v>59601</v>
      </c>
      <c r="J305" s="37" t="s">
        <v>913</v>
      </c>
      <c r="K305" s="40">
        <v>0.09</v>
      </c>
      <c r="L305" s="36" t="s">
        <v>453</v>
      </c>
      <c r="M305" s="1" t="s">
        <v>1169</v>
      </c>
      <c r="N305" s="36" t="s">
        <v>45</v>
      </c>
      <c r="O305" s="41">
        <v>36</v>
      </c>
      <c r="Q305" s="43">
        <v>2020000</v>
      </c>
      <c r="R305" s="43"/>
      <c r="S305" s="43"/>
      <c r="T305" s="43"/>
      <c r="W305" s="8">
        <v>35059</v>
      </c>
      <c r="Y305" s="8">
        <v>35065</v>
      </c>
      <c r="Z305" s="46">
        <f t="shared" si="62"/>
        <v>40179</v>
      </c>
      <c r="AA305" s="4">
        <v>15</v>
      </c>
      <c r="AB305" s="46">
        <f>DATE(YEAR(Z305)+AA305,MONTH(Z305),DAY(Z305))</f>
        <v>45658</v>
      </c>
      <c r="AC305" s="1" t="s">
        <v>717</v>
      </c>
      <c r="AD305" s="1" t="s">
        <v>611</v>
      </c>
      <c r="AE305" s="1" t="s">
        <v>616</v>
      </c>
      <c r="AF305" s="38" t="s">
        <v>17</v>
      </c>
      <c r="AG305" s="38" t="s">
        <v>472</v>
      </c>
      <c r="AH305" s="152">
        <v>59106</v>
      </c>
      <c r="AI305" s="47"/>
      <c r="AJ305" s="38" t="s">
        <v>718</v>
      </c>
      <c r="AK305" s="38"/>
      <c r="AL305" s="38"/>
      <c r="AM305" s="38"/>
      <c r="AN305" s="38"/>
      <c r="AO305" s="38"/>
      <c r="AP305" s="38"/>
      <c r="AQ305" s="38"/>
      <c r="AR305" s="38"/>
      <c r="AS305" s="38"/>
      <c r="AU305" s="36" t="s">
        <v>403</v>
      </c>
      <c r="AX305" s="1">
        <v>4</v>
      </c>
      <c r="AY305" s="1">
        <v>18</v>
      </c>
      <c r="AZ305" s="1">
        <v>14</v>
      </c>
      <c r="BR305" s="52">
        <v>2179535</v>
      </c>
      <c r="BS305" s="52" t="e">
        <f>VLOOKUP(M305,#REF!,2,TRUE)*(BR305/1000000)</f>
        <v>#REF!</v>
      </c>
      <c r="BT305" s="43" t="e">
        <f>VLOOKUP(M305,#REF!,3,TRUE)*(BR305/1000000)</f>
        <v>#REF!</v>
      </c>
    </row>
    <row r="306" spans="1:72" x14ac:dyDescent="0.25">
      <c r="A306" s="8" t="s">
        <v>399</v>
      </c>
      <c r="B306" s="36">
        <v>1993</v>
      </c>
      <c r="C306" s="36" t="s">
        <v>1014</v>
      </c>
      <c r="D306" s="1" t="s">
        <v>1464</v>
      </c>
      <c r="E306" s="1" t="s">
        <v>1320</v>
      </c>
      <c r="F306" s="1" t="s">
        <v>783</v>
      </c>
      <c r="G306" s="38">
        <v>59474</v>
      </c>
      <c r="J306" s="1" t="s">
        <v>400</v>
      </c>
      <c r="K306" s="40">
        <v>0.09</v>
      </c>
      <c r="L306" s="36" t="s">
        <v>453</v>
      </c>
      <c r="M306" s="1" t="s">
        <v>1169</v>
      </c>
      <c r="N306" s="36" t="s">
        <v>45</v>
      </c>
      <c r="O306" s="41">
        <v>12</v>
      </c>
      <c r="Q306" s="43">
        <v>169600</v>
      </c>
      <c r="R306" s="43"/>
      <c r="S306" s="43"/>
      <c r="T306" s="43"/>
      <c r="W306" s="8">
        <v>34989</v>
      </c>
      <c r="Y306" s="8">
        <f t="shared" si="61"/>
        <v>34989</v>
      </c>
      <c r="Z306" s="46">
        <f>DATE(YEAR(Y306)+14,MONTH(Y306),DAY(Y306))</f>
        <v>40103</v>
      </c>
      <c r="AA306" s="4">
        <v>15</v>
      </c>
      <c r="AB306" s="46">
        <f>DATE(YEAR(Z306)+AA306,MONTH(Z306),DAY(Z306))</f>
        <v>45582</v>
      </c>
      <c r="AC306" s="1" t="s">
        <v>261</v>
      </c>
      <c r="AD306" s="1" t="s">
        <v>262</v>
      </c>
      <c r="AE306" s="1" t="s">
        <v>402</v>
      </c>
      <c r="AF306" s="1" t="s">
        <v>35</v>
      </c>
      <c r="AG306" s="1" t="s">
        <v>477</v>
      </c>
      <c r="AH306" s="36">
        <v>55402</v>
      </c>
      <c r="AI306" s="47"/>
      <c r="AJ306" s="1" t="s">
        <v>563</v>
      </c>
      <c r="AU306" s="36" t="s">
        <v>401</v>
      </c>
      <c r="AY306" s="1">
        <v>8</v>
      </c>
      <c r="AZ306" s="1">
        <v>4</v>
      </c>
      <c r="BR306" s="52">
        <v>487300</v>
      </c>
      <c r="BS306" s="52" t="e">
        <f>VLOOKUP(M306,#REF!,2,TRUE)*(BR306/1000000)</f>
        <v>#REF!</v>
      </c>
      <c r="BT306" s="43" t="e">
        <f>VLOOKUP(M306,#REF!,3,TRUE)*(BR306/1000000)</f>
        <v>#REF!</v>
      </c>
    </row>
    <row r="307" spans="1:72" s="126" customFormat="1" x14ac:dyDescent="0.25">
      <c r="A307" s="124" t="s">
        <v>398</v>
      </c>
      <c r="B307" s="125">
        <v>1993</v>
      </c>
      <c r="C307" s="92" t="s">
        <v>1452</v>
      </c>
      <c r="D307" s="126" t="s">
        <v>1463</v>
      </c>
      <c r="E307" s="126" t="s">
        <v>1319</v>
      </c>
      <c r="F307" s="126" t="s">
        <v>338</v>
      </c>
      <c r="G307" s="127">
        <v>59801</v>
      </c>
      <c r="H307" s="128"/>
      <c r="I307" s="128"/>
      <c r="J307" s="126" t="s">
        <v>338</v>
      </c>
      <c r="K307" s="129">
        <v>0.09</v>
      </c>
      <c r="L307" s="125" t="s">
        <v>453</v>
      </c>
      <c r="M307" s="126" t="s">
        <v>1169</v>
      </c>
      <c r="N307" s="125" t="s">
        <v>45</v>
      </c>
      <c r="O307" s="130">
        <v>4</v>
      </c>
      <c r="P307" s="125"/>
      <c r="Q307" s="134">
        <v>140750</v>
      </c>
      <c r="R307" s="134"/>
      <c r="S307" s="134"/>
      <c r="T307" s="134"/>
      <c r="U307" s="132"/>
      <c r="V307" s="133"/>
      <c r="W307" s="124">
        <v>34455</v>
      </c>
      <c r="X307" s="124"/>
      <c r="Y307" s="8">
        <f t="shared" si="61"/>
        <v>34455</v>
      </c>
      <c r="Z307" s="46">
        <f t="shared" si="62"/>
        <v>39569</v>
      </c>
      <c r="AA307" s="136">
        <v>15</v>
      </c>
      <c r="AB307" s="135">
        <f>DATE(YEAR(Z307)+AA307,MONTH(Z307),DAY(Z307))</f>
        <v>45047</v>
      </c>
      <c r="AC307" s="126" t="s">
        <v>545</v>
      </c>
      <c r="AE307" s="126" t="s">
        <v>344</v>
      </c>
      <c r="AF307" s="126" t="s">
        <v>20</v>
      </c>
      <c r="AG307" s="126" t="s">
        <v>472</v>
      </c>
      <c r="AH307" s="125">
        <v>59808</v>
      </c>
      <c r="AI307" s="47"/>
      <c r="AJ307" s="126" t="s">
        <v>546</v>
      </c>
      <c r="AT307" s="138"/>
      <c r="AU307" s="125" t="s">
        <v>370</v>
      </c>
      <c r="AY307" s="126">
        <v>4</v>
      </c>
      <c r="BF307" s="125"/>
      <c r="BG307" s="125"/>
      <c r="BH307" s="125"/>
      <c r="BI307" s="125"/>
      <c r="BJ307" s="125"/>
      <c r="BK307" s="125"/>
      <c r="BL307" s="125"/>
      <c r="BM307" s="125"/>
      <c r="BN307" s="125"/>
      <c r="BR307" s="52">
        <v>172632</v>
      </c>
      <c r="BS307" s="52" t="e">
        <f>VLOOKUP(M307,#REF!,2,TRUE)*(BR307/1000000)</f>
        <v>#REF!</v>
      </c>
      <c r="BT307" s="43" t="e">
        <f>VLOOKUP(M307,#REF!,3,TRUE)*(BR307/1000000)</f>
        <v>#REF!</v>
      </c>
    </row>
    <row r="308" spans="1:72" s="93" customFormat="1" x14ac:dyDescent="0.25">
      <c r="A308" s="9" t="s">
        <v>394</v>
      </c>
      <c r="B308" s="92">
        <v>1993</v>
      </c>
      <c r="C308" s="92" t="s">
        <v>1014</v>
      </c>
      <c r="D308" s="93" t="s">
        <v>2099</v>
      </c>
      <c r="E308" s="93" t="s">
        <v>1318</v>
      </c>
      <c r="F308" s="93" t="s">
        <v>760</v>
      </c>
      <c r="G308" s="95">
        <v>59501</v>
      </c>
      <c r="H308" s="114"/>
      <c r="I308" s="114"/>
      <c r="J308" s="93" t="s">
        <v>303</v>
      </c>
      <c r="K308" s="97">
        <v>0.09</v>
      </c>
      <c r="L308" s="92" t="s">
        <v>453</v>
      </c>
      <c r="M308" s="93" t="s">
        <v>1169</v>
      </c>
      <c r="N308" s="92" t="s">
        <v>45</v>
      </c>
      <c r="O308" s="98">
        <v>16</v>
      </c>
      <c r="P308" s="92"/>
      <c r="Q308" s="102">
        <v>212480</v>
      </c>
      <c r="R308" s="102"/>
      <c r="S308" s="102"/>
      <c r="T308" s="102"/>
      <c r="U308" s="100"/>
      <c r="V308" s="101"/>
      <c r="W308" s="9">
        <v>34366</v>
      </c>
      <c r="X308" s="9">
        <v>1995</v>
      </c>
      <c r="Y308" s="9">
        <f t="shared" si="61"/>
        <v>34366</v>
      </c>
      <c r="Z308" s="140">
        <f t="shared" si="62"/>
        <v>39479</v>
      </c>
      <c r="AA308" s="5">
        <v>15</v>
      </c>
      <c r="AB308" s="140">
        <f>DATE(YEAR(Z308)+AA308,MONTH(Z308),DAY(Z308))</f>
        <v>44958</v>
      </c>
      <c r="AC308" s="93" t="s">
        <v>231</v>
      </c>
      <c r="AD308" s="93" t="s">
        <v>508</v>
      </c>
      <c r="AE308" s="93" t="s">
        <v>325</v>
      </c>
      <c r="AF308" s="93" t="s">
        <v>34</v>
      </c>
      <c r="AG308" s="93" t="s">
        <v>472</v>
      </c>
      <c r="AH308" s="92">
        <v>59501</v>
      </c>
      <c r="AI308" s="141"/>
      <c r="AJ308" s="93" t="s">
        <v>397</v>
      </c>
      <c r="AT308" s="103"/>
      <c r="AU308" s="92" t="s">
        <v>381</v>
      </c>
      <c r="AX308" s="93">
        <v>3</v>
      </c>
      <c r="AY308" s="93">
        <v>13</v>
      </c>
      <c r="BF308" s="92"/>
      <c r="BG308" s="92"/>
      <c r="BH308" s="92"/>
      <c r="BI308" s="92"/>
      <c r="BJ308" s="92"/>
      <c r="BK308" s="92"/>
      <c r="BL308" s="92"/>
      <c r="BM308" s="92"/>
      <c r="BN308" s="92"/>
      <c r="BR308" s="94">
        <v>622843</v>
      </c>
      <c r="BS308" s="94" t="e">
        <f>VLOOKUP(M308,#REF!,2,TRUE)*(BR308/1000000)</f>
        <v>#REF!</v>
      </c>
      <c r="BT308" s="102" t="e">
        <f>VLOOKUP(M308,#REF!,3,TRUE)*(BR308/1000000)</f>
        <v>#REF!</v>
      </c>
    </row>
    <row r="309" spans="1:72" x14ac:dyDescent="0.25">
      <c r="A309" s="9" t="s">
        <v>391</v>
      </c>
      <c r="B309" s="92">
        <v>1993</v>
      </c>
      <c r="C309" s="92" t="s">
        <v>1452</v>
      </c>
      <c r="D309" s="93" t="s">
        <v>1590</v>
      </c>
      <c r="E309" s="93" t="s">
        <v>1317</v>
      </c>
      <c r="F309" s="93" t="s">
        <v>1263</v>
      </c>
      <c r="G309" s="95">
        <v>59041</v>
      </c>
      <c r="H309" s="114"/>
      <c r="I309" s="114"/>
      <c r="J309" s="93" t="s">
        <v>392</v>
      </c>
      <c r="K309" s="97">
        <v>0.09</v>
      </c>
      <c r="L309" s="92" t="s">
        <v>453</v>
      </c>
      <c r="M309" s="93" t="s">
        <v>1169</v>
      </c>
      <c r="N309" s="92" t="s">
        <v>45</v>
      </c>
      <c r="O309" s="98">
        <v>1</v>
      </c>
      <c r="P309" s="92"/>
      <c r="Q309" s="102">
        <v>14090</v>
      </c>
      <c r="R309" s="102"/>
      <c r="S309" s="102"/>
      <c r="T309" s="102"/>
      <c r="U309" s="100"/>
      <c r="V309" s="101"/>
      <c r="W309" s="8">
        <v>34213</v>
      </c>
      <c r="Y309" s="8">
        <f t="shared" si="61"/>
        <v>34213</v>
      </c>
      <c r="AA309" s="5"/>
      <c r="AC309" s="93" t="s">
        <v>41</v>
      </c>
      <c r="AD309" s="93" t="s">
        <v>683</v>
      </c>
      <c r="AE309" s="93" t="s">
        <v>32</v>
      </c>
      <c r="AF309" s="93" t="s">
        <v>33</v>
      </c>
      <c r="AG309" s="93" t="s">
        <v>472</v>
      </c>
      <c r="AH309" s="92">
        <v>59068</v>
      </c>
      <c r="AI309" s="47"/>
      <c r="AJ309" s="93" t="s">
        <v>684</v>
      </c>
      <c r="AK309" s="93"/>
      <c r="AL309" s="93"/>
      <c r="AM309" s="93"/>
      <c r="AN309" s="93"/>
      <c r="AO309" s="93"/>
      <c r="AP309" s="93"/>
      <c r="AQ309" s="93"/>
      <c r="AR309" s="93"/>
      <c r="AS309" s="93"/>
      <c r="AT309" s="103"/>
      <c r="AU309" s="92" t="s">
        <v>393</v>
      </c>
      <c r="AV309" s="93"/>
      <c r="AW309" s="93"/>
      <c r="AX309" s="93"/>
      <c r="AY309" s="93">
        <v>1</v>
      </c>
      <c r="AZ309" s="93"/>
      <c r="BA309" s="93"/>
      <c r="BB309" s="93"/>
      <c r="BC309" s="93"/>
      <c r="BD309" s="93"/>
      <c r="BE309" s="93"/>
      <c r="BR309" s="52">
        <v>35313</v>
      </c>
      <c r="BS309" s="52" t="e">
        <f>VLOOKUP(M309,#REF!,2,TRUE)*(BR309/1000000)</f>
        <v>#REF!</v>
      </c>
      <c r="BT309" s="43" t="e">
        <f>VLOOKUP(M309,#REF!,3,TRUE)*(BR309/1000000)</f>
        <v>#REF!</v>
      </c>
    </row>
    <row r="310" spans="1:72" s="93" customFormat="1" ht="15" customHeight="1" x14ac:dyDescent="0.25">
      <c r="A310" s="9" t="s">
        <v>389</v>
      </c>
      <c r="B310" s="92">
        <v>1993</v>
      </c>
      <c r="C310" s="92" t="s">
        <v>1452</v>
      </c>
      <c r="D310" s="93" t="s">
        <v>1462</v>
      </c>
      <c r="E310" s="93" t="s">
        <v>1316</v>
      </c>
      <c r="F310" s="93" t="s">
        <v>338</v>
      </c>
      <c r="G310" s="95">
        <v>59801</v>
      </c>
      <c r="H310" s="114"/>
      <c r="I310" s="114"/>
      <c r="J310" s="93" t="s">
        <v>338</v>
      </c>
      <c r="K310" s="97">
        <v>0.09</v>
      </c>
      <c r="L310" s="92" t="s">
        <v>453</v>
      </c>
      <c r="M310" s="93" t="s">
        <v>1169</v>
      </c>
      <c r="N310" s="92" t="s">
        <v>45</v>
      </c>
      <c r="O310" s="98">
        <v>4</v>
      </c>
      <c r="P310" s="92"/>
      <c r="Q310" s="102">
        <v>102370</v>
      </c>
      <c r="R310" s="102"/>
      <c r="S310" s="102"/>
      <c r="T310" s="102"/>
      <c r="U310" s="100"/>
      <c r="V310" s="101"/>
      <c r="W310" s="9">
        <v>34436</v>
      </c>
      <c r="X310" s="9"/>
      <c r="Y310" s="9">
        <f t="shared" si="61"/>
        <v>34436</v>
      </c>
      <c r="Z310" s="140">
        <f t="shared" si="62"/>
        <v>39550</v>
      </c>
      <c r="AA310" s="5">
        <v>15</v>
      </c>
      <c r="AB310" s="140">
        <f>DATE(YEAR(Z310)+AA310,MONTH(Z310),DAY(Z310))</f>
        <v>45028</v>
      </c>
      <c r="AC310" s="93" t="s">
        <v>77</v>
      </c>
      <c r="AE310" s="93" t="s">
        <v>31</v>
      </c>
      <c r="AF310" s="93" t="s">
        <v>20</v>
      </c>
      <c r="AG310" s="93" t="s">
        <v>472</v>
      </c>
      <c r="AH310" s="92">
        <v>59803</v>
      </c>
      <c r="AI310" s="141"/>
      <c r="AJ310" s="93" t="s">
        <v>390</v>
      </c>
      <c r="AT310" s="103"/>
      <c r="AU310" s="92" t="s">
        <v>370</v>
      </c>
      <c r="AY310" s="93">
        <v>4</v>
      </c>
      <c r="BF310" s="92"/>
      <c r="BG310" s="92"/>
      <c r="BH310" s="92"/>
      <c r="BI310" s="92"/>
      <c r="BJ310" s="92"/>
      <c r="BK310" s="92"/>
      <c r="BL310" s="92"/>
      <c r="BM310" s="92"/>
      <c r="BN310" s="92"/>
      <c r="BR310" s="94">
        <v>156011</v>
      </c>
      <c r="BS310" s="94" t="e">
        <f>VLOOKUP(M310,#REF!,2,TRUE)*(BR310/1000000)</f>
        <v>#REF!</v>
      </c>
      <c r="BT310" s="102" t="e">
        <f>VLOOKUP(M310,#REF!,3,TRUE)*(BR310/1000000)</f>
        <v>#REF!</v>
      </c>
    </row>
    <row r="311" spans="1:72" x14ac:dyDescent="0.25">
      <c r="A311" s="8" t="s">
        <v>389</v>
      </c>
      <c r="B311" s="36">
        <v>1993</v>
      </c>
      <c r="C311" s="36" t="s">
        <v>1014</v>
      </c>
      <c r="D311" s="1" t="s">
        <v>1911</v>
      </c>
      <c r="E311" s="1" t="s">
        <v>1315</v>
      </c>
      <c r="F311" s="1" t="s">
        <v>46</v>
      </c>
      <c r="G311" s="38">
        <v>59901</v>
      </c>
      <c r="J311" s="1" t="s">
        <v>343</v>
      </c>
      <c r="K311" s="40">
        <v>0.09</v>
      </c>
      <c r="L311" s="36" t="s">
        <v>453</v>
      </c>
      <c r="M311" s="1" t="s">
        <v>1169</v>
      </c>
      <c r="N311" s="36" t="s">
        <v>45</v>
      </c>
      <c r="O311" s="41">
        <v>16</v>
      </c>
      <c r="Q311" s="43">
        <v>1241590</v>
      </c>
      <c r="R311" s="43"/>
      <c r="S311" s="43"/>
      <c r="T311" s="43"/>
      <c r="W311" s="8">
        <v>35060</v>
      </c>
      <c r="X311" s="8">
        <v>35065</v>
      </c>
      <c r="Y311" s="8">
        <f t="shared" si="61"/>
        <v>35065</v>
      </c>
      <c r="Z311" s="46">
        <f t="shared" si="62"/>
        <v>40179</v>
      </c>
      <c r="AA311" s="4">
        <v>15</v>
      </c>
      <c r="AB311" s="46">
        <f>DATE(YEAR(Z311)+AA311,MONTH(Z311),DAY(Z311))</f>
        <v>45658</v>
      </c>
      <c r="AC311" s="1" t="s">
        <v>695</v>
      </c>
      <c r="AD311" s="1" t="s">
        <v>611</v>
      </c>
      <c r="AE311" s="1" t="s">
        <v>616</v>
      </c>
      <c r="AF311" s="1" t="s">
        <v>17</v>
      </c>
      <c r="AG311" s="1" t="s">
        <v>472</v>
      </c>
      <c r="AH311" s="36">
        <v>59106</v>
      </c>
      <c r="AI311" s="47"/>
      <c r="AJ311" s="1" t="s">
        <v>694</v>
      </c>
      <c r="AU311" s="36" t="s">
        <v>381</v>
      </c>
      <c r="AY311" s="1">
        <v>16</v>
      </c>
      <c r="BR311" s="52">
        <v>1119523</v>
      </c>
      <c r="BS311" s="52" t="e">
        <f>VLOOKUP(M311,#REF!,2,TRUE)*(BR311/1000000)</f>
        <v>#REF!</v>
      </c>
      <c r="BT311" s="43" t="e">
        <f>VLOOKUP(M311,#REF!,3,TRUE)*(BR311/1000000)</f>
        <v>#REF!</v>
      </c>
    </row>
    <row r="312" spans="1:72" s="93" customFormat="1" x14ac:dyDescent="0.25">
      <c r="A312" s="9" t="s">
        <v>380</v>
      </c>
      <c r="B312" s="92">
        <v>1992</v>
      </c>
      <c r="C312" s="92" t="s">
        <v>1452</v>
      </c>
      <c r="D312" s="93" t="s">
        <v>1862</v>
      </c>
      <c r="E312" s="93" t="s">
        <v>1314</v>
      </c>
      <c r="F312" s="93" t="s">
        <v>192</v>
      </c>
      <c r="G312" s="95">
        <v>59101</v>
      </c>
      <c r="H312" s="114"/>
      <c r="I312" s="114"/>
      <c r="J312" s="93" t="s">
        <v>898</v>
      </c>
      <c r="K312" s="97">
        <v>0.09</v>
      </c>
      <c r="L312" s="92" t="s">
        <v>1154</v>
      </c>
      <c r="M312" s="93" t="s">
        <v>1169</v>
      </c>
      <c r="N312" s="92" t="s">
        <v>45</v>
      </c>
      <c r="O312" s="98">
        <v>60</v>
      </c>
      <c r="P312" s="92"/>
      <c r="Q312" s="102">
        <v>2841590</v>
      </c>
      <c r="R312" s="102"/>
      <c r="S312" s="102"/>
      <c r="T312" s="102"/>
      <c r="U312" s="100"/>
      <c r="V312" s="101"/>
      <c r="W312" s="9">
        <v>34656</v>
      </c>
      <c r="X312" s="9"/>
      <c r="Y312" s="9">
        <f t="shared" si="61"/>
        <v>34656</v>
      </c>
      <c r="Z312" s="140">
        <f t="shared" si="62"/>
        <v>39770</v>
      </c>
      <c r="AA312" s="5">
        <v>15</v>
      </c>
      <c r="AB312" s="140">
        <f>DATE(YEAR(Z312)+AA312,MONTH(Z312),DAY(Z312))</f>
        <v>45248</v>
      </c>
      <c r="AC312" s="93" t="s">
        <v>556</v>
      </c>
      <c r="AD312" s="93" t="s">
        <v>611</v>
      </c>
      <c r="AE312" s="93" t="s">
        <v>616</v>
      </c>
      <c r="AF312" s="95" t="s">
        <v>17</v>
      </c>
      <c r="AG312" s="95" t="s">
        <v>472</v>
      </c>
      <c r="AH312" s="153">
        <v>59106</v>
      </c>
      <c r="AI312" s="141"/>
      <c r="AJ312" s="93" t="s">
        <v>617</v>
      </c>
      <c r="AT312" s="103"/>
      <c r="AU312" s="92">
        <v>60</v>
      </c>
      <c r="AY312" s="93">
        <v>38</v>
      </c>
      <c r="AZ312" s="93">
        <v>20</v>
      </c>
      <c r="BA312" s="93">
        <v>2</v>
      </c>
      <c r="BF312" s="92"/>
      <c r="BG312" s="92"/>
      <c r="BH312" s="92"/>
      <c r="BI312" s="92"/>
      <c r="BJ312" s="92"/>
      <c r="BK312" s="92"/>
      <c r="BL312" s="92"/>
      <c r="BM312" s="92"/>
      <c r="BN312" s="92"/>
      <c r="BR312" s="94">
        <v>3166600</v>
      </c>
      <c r="BS312" s="94" t="e">
        <f>VLOOKUP(M312,#REF!,2,TRUE)*(BR312/1000000)</f>
        <v>#REF!</v>
      </c>
      <c r="BT312" s="102" t="e">
        <f>VLOOKUP(M312,#REF!,3,TRUE)*(BR312/1000000)</f>
        <v>#REF!</v>
      </c>
    </row>
    <row r="313" spans="1:72" s="93" customFormat="1" x14ac:dyDescent="0.25">
      <c r="A313" s="9" t="s">
        <v>382</v>
      </c>
      <c r="B313" s="92">
        <v>1992</v>
      </c>
      <c r="C313" s="92" t="s">
        <v>1452</v>
      </c>
      <c r="D313" s="93" t="s">
        <v>1573</v>
      </c>
      <c r="E313" s="93" t="s">
        <v>1313</v>
      </c>
      <c r="F313" s="93" t="s">
        <v>1044</v>
      </c>
      <c r="G313" s="95">
        <v>59230</v>
      </c>
      <c r="H313" s="114"/>
      <c r="I313" s="114"/>
      <c r="J313" s="93" t="s">
        <v>383</v>
      </c>
      <c r="K313" s="97">
        <v>0.09</v>
      </c>
      <c r="L313" s="92" t="s">
        <v>440</v>
      </c>
      <c r="M313" s="93" t="s">
        <v>1169</v>
      </c>
      <c r="N313" s="92" t="s">
        <v>167</v>
      </c>
      <c r="O313" s="98">
        <v>6</v>
      </c>
      <c r="P313" s="92"/>
      <c r="Q313" s="102">
        <v>97800</v>
      </c>
      <c r="R313" s="102"/>
      <c r="S313" s="102"/>
      <c r="T313" s="102"/>
      <c r="U313" s="100"/>
      <c r="V313" s="101"/>
      <c r="W313" s="9">
        <v>34060</v>
      </c>
      <c r="X313" s="9"/>
      <c r="Y313" s="9">
        <f t="shared" si="61"/>
        <v>34060</v>
      </c>
      <c r="Z313" s="140"/>
      <c r="AA313" s="5"/>
      <c r="AB313" s="140"/>
      <c r="AC313" s="93" t="s">
        <v>28</v>
      </c>
      <c r="AD313" s="93" t="s">
        <v>130</v>
      </c>
      <c r="AE313" s="93" t="s">
        <v>131</v>
      </c>
      <c r="AF313" s="93" t="s">
        <v>29</v>
      </c>
      <c r="AG313" s="93" t="s">
        <v>472</v>
      </c>
      <c r="AH313" s="92">
        <v>59230</v>
      </c>
      <c r="AI313" s="141"/>
      <c r="AJ313" s="93" t="s">
        <v>384</v>
      </c>
      <c r="AT313" s="103"/>
      <c r="AU313" s="92" t="s">
        <v>369</v>
      </c>
      <c r="AW313" s="93">
        <v>6</v>
      </c>
      <c r="BF313" s="92"/>
      <c r="BG313" s="92"/>
      <c r="BH313" s="92"/>
      <c r="BI313" s="92"/>
      <c r="BJ313" s="92"/>
      <c r="BK313" s="92"/>
      <c r="BL313" s="92"/>
      <c r="BM313" s="92"/>
      <c r="BN313" s="92"/>
      <c r="BR313" s="94">
        <v>298101</v>
      </c>
      <c r="BS313" s="94" t="e">
        <f>VLOOKUP(M313,#REF!,2,TRUE)*(BR313/1000000)</f>
        <v>#REF!</v>
      </c>
      <c r="BT313" s="102" t="e">
        <f>VLOOKUP(M313,#REF!,3,TRUE)*(BR313/1000000)</f>
        <v>#REF!</v>
      </c>
    </row>
    <row r="314" spans="1:72" s="93" customFormat="1" x14ac:dyDescent="0.25">
      <c r="A314" s="9" t="s">
        <v>380</v>
      </c>
      <c r="B314" s="92">
        <v>1992</v>
      </c>
      <c r="C314" s="92" t="s">
        <v>1452</v>
      </c>
      <c r="D314" s="93" t="s">
        <v>1461</v>
      </c>
      <c r="E314" s="93" t="s">
        <v>1312</v>
      </c>
      <c r="F314" s="93" t="s">
        <v>1262</v>
      </c>
      <c r="G314" s="95">
        <v>59034</v>
      </c>
      <c r="H314" s="114"/>
      <c r="I314" s="114"/>
      <c r="J314" s="93" t="s">
        <v>420</v>
      </c>
      <c r="K314" s="97">
        <v>0.09</v>
      </c>
      <c r="L314" s="92" t="s">
        <v>453</v>
      </c>
      <c r="M314" s="93" t="s">
        <v>1169</v>
      </c>
      <c r="N314" s="92" t="s">
        <v>45</v>
      </c>
      <c r="O314" s="98">
        <v>16</v>
      </c>
      <c r="P314" s="92"/>
      <c r="Q314" s="102">
        <v>326940</v>
      </c>
      <c r="R314" s="102"/>
      <c r="S314" s="102"/>
      <c r="T314" s="102"/>
      <c r="U314" s="100"/>
      <c r="V314" s="101"/>
      <c r="W314" s="9">
        <v>34191</v>
      </c>
      <c r="X314" s="9"/>
      <c r="Y314" s="9">
        <f t="shared" si="61"/>
        <v>34191</v>
      </c>
      <c r="Z314" s="140">
        <f t="shared" si="62"/>
        <v>39304</v>
      </c>
      <c r="AA314" s="5">
        <v>15</v>
      </c>
      <c r="AB314" s="140">
        <f t="shared" ref="AB314:AB328" si="63">DATE(YEAR(Z314)+AA314,MONTH(Z314),DAY(Z314))</f>
        <v>44783</v>
      </c>
      <c r="AC314" s="93" t="s">
        <v>258</v>
      </c>
      <c r="AD314" s="93" t="s">
        <v>259</v>
      </c>
      <c r="AE314" s="93" t="s">
        <v>658</v>
      </c>
      <c r="AF314" s="93" t="s">
        <v>27</v>
      </c>
      <c r="AG314" s="93" t="s">
        <v>476</v>
      </c>
      <c r="AH314" s="92">
        <v>82801</v>
      </c>
      <c r="AI314" s="141"/>
      <c r="AJ314" s="93" t="s">
        <v>552</v>
      </c>
      <c r="AT314" s="103"/>
      <c r="AU314" s="92" t="s">
        <v>381</v>
      </c>
      <c r="AX314" s="93">
        <v>4</v>
      </c>
      <c r="AY314" s="93">
        <v>12</v>
      </c>
      <c r="BF314" s="92"/>
      <c r="BG314" s="92"/>
      <c r="BH314" s="92"/>
      <c r="BI314" s="92"/>
      <c r="BJ314" s="92"/>
      <c r="BK314" s="92"/>
      <c r="BL314" s="92"/>
      <c r="BM314" s="92"/>
      <c r="BN314" s="92"/>
      <c r="BR314" s="94">
        <v>736503</v>
      </c>
      <c r="BS314" s="94" t="e">
        <f>VLOOKUP(M314,#REF!,2,TRUE)*(BR314/1000000)</f>
        <v>#REF!</v>
      </c>
      <c r="BT314" s="102" t="e">
        <f>VLOOKUP(M314,#REF!,3,TRUE)*(BR314/1000000)</f>
        <v>#REF!</v>
      </c>
    </row>
    <row r="315" spans="1:72" s="93" customFormat="1" x14ac:dyDescent="0.25">
      <c r="A315" s="9" t="s">
        <v>375</v>
      </c>
      <c r="B315" s="92">
        <v>1992</v>
      </c>
      <c r="C315" s="92" t="s">
        <v>1452</v>
      </c>
      <c r="D315" s="93" t="s">
        <v>1912</v>
      </c>
      <c r="E315" s="93" t="s">
        <v>1311</v>
      </c>
      <c r="F315" s="93" t="s">
        <v>46</v>
      </c>
      <c r="G315" s="95">
        <v>59901</v>
      </c>
      <c r="H315" s="114"/>
      <c r="I315" s="114"/>
      <c r="J315" s="93" t="s">
        <v>343</v>
      </c>
      <c r="K315" s="97">
        <v>0.09</v>
      </c>
      <c r="L315" s="92" t="s">
        <v>453</v>
      </c>
      <c r="M315" s="93" t="s">
        <v>1169</v>
      </c>
      <c r="N315" s="92" t="s">
        <v>45</v>
      </c>
      <c r="O315" s="98">
        <v>48</v>
      </c>
      <c r="P315" s="92"/>
      <c r="Q315" s="102">
        <v>2832660</v>
      </c>
      <c r="R315" s="102"/>
      <c r="S315" s="102"/>
      <c r="T315" s="102"/>
      <c r="U315" s="100"/>
      <c r="V315" s="101"/>
      <c r="W315" s="9">
        <v>34572</v>
      </c>
      <c r="X315" s="9"/>
      <c r="Y315" s="9">
        <f t="shared" si="61"/>
        <v>34572</v>
      </c>
      <c r="Z315" s="140">
        <f t="shared" si="62"/>
        <v>39686</v>
      </c>
      <c r="AA315" s="5">
        <v>15</v>
      </c>
      <c r="AB315" s="140">
        <f t="shared" si="63"/>
        <v>45164</v>
      </c>
      <c r="AC315" s="93" t="s">
        <v>693</v>
      </c>
      <c r="AD315" s="93" t="s">
        <v>611</v>
      </c>
      <c r="AE315" s="93" t="s">
        <v>616</v>
      </c>
      <c r="AF315" s="93" t="s">
        <v>17</v>
      </c>
      <c r="AG315" s="93" t="s">
        <v>472</v>
      </c>
      <c r="AH315" s="92">
        <v>59106</v>
      </c>
      <c r="AI315" s="141"/>
      <c r="AJ315" s="93" t="s">
        <v>694</v>
      </c>
      <c r="AT315" s="103"/>
      <c r="AU315" s="92" t="s">
        <v>379</v>
      </c>
      <c r="AY315" s="93">
        <v>24</v>
      </c>
      <c r="AZ315" s="93">
        <v>24</v>
      </c>
      <c r="BF315" s="92"/>
      <c r="BG315" s="92"/>
      <c r="BH315" s="92"/>
      <c r="BI315" s="92"/>
      <c r="BJ315" s="92"/>
      <c r="BK315" s="92"/>
      <c r="BL315" s="92"/>
      <c r="BM315" s="92"/>
      <c r="BN315" s="92"/>
      <c r="BR315" s="94">
        <v>2781873</v>
      </c>
      <c r="BS315" s="94" t="e">
        <f>VLOOKUP(M315,#REF!,2,TRUE)*(BR315/1000000)</f>
        <v>#REF!</v>
      </c>
      <c r="BT315" s="102" t="e">
        <f>VLOOKUP(M315,#REF!,3,TRUE)*(BR315/1000000)</f>
        <v>#REF!</v>
      </c>
    </row>
    <row r="316" spans="1:72" s="93" customFormat="1" x14ac:dyDescent="0.25">
      <c r="A316" s="9" t="s">
        <v>375</v>
      </c>
      <c r="B316" s="92">
        <v>1992</v>
      </c>
      <c r="C316" s="92" t="s">
        <v>1452</v>
      </c>
      <c r="D316" s="93" t="s">
        <v>1460</v>
      </c>
      <c r="E316" s="93" t="s">
        <v>1310</v>
      </c>
      <c r="F316" s="93" t="s">
        <v>899</v>
      </c>
      <c r="G316" s="95">
        <v>59722</v>
      </c>
      <c r="H316" s="114"/>
      <c r="I316" s="114"/>
      <c r="J316" s="93" t="s">
        <v>376</v>
      </c>
      <c r="K316" s="97">
        <v>0.09</v>
      </c>
      <c r="L316" s="92" t="s">
        <v>453</v>
      </c>
      <c r="M316" s="93" t="s">
        <v>307</v>
      </c>
      <c r="N316" s="92" t="s">
        <v>45</v>
      </c>
      <c r="O316" s="98">
        <v>24</v>
      </c>
      <c r="P316" s="92"/>
      <c r="Q316" s="102">
        <v>242220</v>
      </c>
      <c r="R316" s="102"/>
      <c r="S316" s="102"/>
      <c r="T316" s="102"/>
      <c r="U316" s="100"/>
      <c r="V316" s="101"/>
      <c r="W316" s="9">
        <v>34151</v>
      </c>
      <c r="X316" s="9"/>
      <c r="Y316" s="9">
        <f t="shared" si="61"/>
        <v>34151</v>
      </c>
      <c r="Z316" s="140">
        <f t="shared" si="62"/>
        <v>39264</v>
      </c>
      <c r="AA316" s="5">
        <v>15</v>
      </c>
      <c r="AB316" s="140">
        <f t="shared" si="63"/>
        <v>44743</v>
      </c>
      <c r="AC316" s="93" t="s">
        <v>253</v>
      </c>
      <c r="AD316" s="93" t="s">
        <v>246</v>
      </c>
      <c r="AE316" s="93" t="s">
        <v>16</v>
      </c>
      <c r="AF316" s="93" t="s">
        <v>17</v>
      </c>
      <c r="AG316" s="93" t="s">
        <v>472</v>
      </c>
      <c r="AH316" s="92" t="s">
        <v>18</v>
      </c>
      <c r="AI316" s="141"/>
      <c r="AJ316" s="93" t="s">
        <v>555</v>
      </c>
      <c r="AT316" s="103"/>
      <c r="AU316" s="92" t="s">
        <v>378</v>
      </c>
      <c r="AX316" s="93">
        <v>15</v>
      </c>
      <c r="AY316" s="93">
        <v>9</v>
      </c>
      <c r="BF316" s="92"/>
      <c r="BG316" s="92"/>
      <c r="BH316" s="92"/>
      <c r="BI316" s="92"/>
      <c r="BJ316" s="92"/>
      <c r="BK316" s="92"/>
      <c r="BL316" s="92"/>
      <c r="BM316" s="92"/>
      <c r="BN316" s="92"/>
      <c r="BR316" s="94">
        <v>698472</v>
      </c>
      <c r="BS316" s="94" t="e">
        <f>VLOOKUP(M316,#REF!,2,TRUE)*(BR316/1000000)</f>
        <v>#REF!</v>
      </c>
      <c r="BT316" s="102" t="e">
        <f>VLOOKUP(M316,#REF!,3,TRUE)*(BR316/1000000)</f>
        <v>#REF!</v>
      </c>
    </row>
    <row r="317" spans="1:72" s="93" customFormat="1" x14ac:dyDescent="0.25">
      <c r="A317" s="9" t="s">
        <v>373</v>
      </c>
      <c r="B317" s="92">
        <v>1992</v>
      </c>
      <c r="C317" s="92" t="s">
        <v>1452</v>
      </c>
      <c r="D317" s="93" t="s">
        <v>1459</v>
      </c>
      <c r="E317" s="93" t="s">
        <v>1309</v>
      </c>
      <c r="F317" s="93" t="s">
        <v>192</v>
      </c>
      <c r="G317" s="95">
        <v>59101</v>
      </c>
      <c r="H317" s="114"/>
      <c r="I317" s="114"/>
      <c r="J317" s="93" t="s">
        <v>898</v>
      </c>
      <c r="K317" s="97">
        <v>0.09</v>
      </c>
      <c r="L317" s="92" t="s">
        <v>453</v>
      </c>
      <c r="M317" s="93" t="s">
        <v>1169</v>
      </c>
      <c r="N317" s="92" t="s">
        <v>45</v>
      </c>
      <c r="O317" s="98">
        <v>120</v>
      </c>
      <c r="P317" s="92"/>
      <c r="Q317" s="102">
        <v>370000</v>
      </c>
      <c r="R317" s="102"/>
      <c r="S317" s="102"/>
      <c r="T317" s="102"/>
      <c r="U317" s="100"/>
      <c r="V317" s="101"/>
      <c r="W317" s="9">
        <v>34488</v>
      </c>
      <c r="X317" s="9"/>
      <c r="Y317" s="9">
        <f t="shared" si="61"/>
        <v>34488</v>
      </c>
      <c r="Z317" s="140">
        <f t="shared" si="62"/>
        <v>39602</v>
      </c>
      <c r="AA317" s="5">
        <v>15</v>
      </c>
      <c r="AB317" s="140">
        <f t="shared" si="63"/>
        <v>45080</v>
      </c>
      <c r="AC317" s="93" t="s">
        <v>637</v>
      </c>
      <c r="AD317" s="93" t="s">
        <v>719</v>
      </c>
      <c r="AE317" s="93" t="s">
        <v>151</v>
      </c>
      <c r="AF317" s="93" t="s">
        <v>127</v>
      </c>
      <c r="AG317" s="93" t="s">
        <v>474</v>
      </c>
      <c r="AH317" s="92">
        <v>98101</v>
      </c>
      <c r="AI317" s="141"/>
      <c r="AJ317" s="93" t="s">
        <v>638</v>
      </c>
      <c r="AT317" s="103"/>
      <c r="AU317" s="92">
        <v>120</v>
      </c>
      <c r="AW317" s="93">
        <v>20</v>
      </c>
      <c r="AX317" s="93">
        <v>26</v>
      </c>
      <c r="AY317" s="93">
        <v>46</v>
      </c>
      <c r="AZ317" s="93">
        <v>28</v>
      </c>
      <c r="BF317" s="92"/>
      <c r="BG317" s="92"/>
      <c r="BH317" s="92"/>
      <c r="BI317" s="92"/>
      <c r="BJ317" s="92"/>
      <c r="BK317" s="92"/>
      <c r="BL317" s="92"/>
      <c r="BM317" s="92"/>
      <c r="BN317" s="92"/>
      <c r="BR317" s="94">
        <v>4274640</v>
      </c>
      <c r="BS317" s="94" t="e">
        <f>VLOOKUP(M317,#REF!,2,TRUE)*(BR317/1000000)</f>
        <v>#REF!</v>
      </c>
      <c r="BT317" s="102" t="e">
        <f>VLOOKUP(M317,#REF!,3,TRUE)*(BR317/1000000)</f>
        <v>#REF!</v>
      </c>
    </row>
    <row r="318" spans="1:72" s="93" customFormat="1" x14ac:dyDescent="0.25">
      <c r="A318" s="9" t="s">
        <v>371</v>
      </c>
      <c r="B318" s="92">
        <v>1992</v>
      </c>
      <c r="C318" s="92" t="s">
        <v>1452</v>
      </c>
      <c r="D318" s="93" t="s">
        <v>1062</v>
      </c>
      <c r="E318" s="93" t="s">
        <v>1308</v>
      </c>
      <c r="F318" s="93" t="s">
        <v>338</v>
      </c>
      <c r="G318" s="95">
        <v>59801</v>
      </c>
      <c r="H318" s="114"/>
      <c r="I318" s="114"/>
      <c r="J318" s="93" t="s">
        <v>338</v>
      </c>
      <c r="K318" s="97">
        <v>0.09</v>
      </c>
      <c r="L318" s="92" t="s">
        <v>453</v>
      </c>
      <c r="M318" s="93" t="s">
        <v>1169</v>
      </c>
      <c r="N318" s="92" t="s">
        <v>45</v>
      </c>
      <c r="O318" s="98">
        <v>96</v>
      </c>
      <c r="P318" s="92"/>
      <c r="Q318" s="102">
        <v>3692160</v>
      </c>
      <c r="R318" s="102"/>
      <c r="S318" s="102"/>
      <c r="T318" s="102"/>
      <c r="U318" s="100"/>
      <c r="V318" s="101"/>
      <c r="W318" s="9">
        <v>34365</v>
      </c>
      <c r="X318" s="9"/>
      <c r="Y318" s="9">
        <f t="shared" si="61"/>
        <v>34365</v>
      </c>
      <c r="Z318" s="140">
        <f t="shared" si="62"/>
        <v>39478</v>
      </c>
      <c r="AA318" s="5">
        <v>15</v>
      </c>
      <c r="AB318" s="140">
        <f t="shared" si="63"/>
        <v>44957</v>
      </c>
      <c r="AC318" s="93" t="s">
        <v>152</v>
      </c>
      <c r="AD318" s="93" t="s">
        <v>150</v>
      </c>
      <c r="AE318" s="93" t="s">
        <v>151</v>
      </c>
      <c r="AF318" s="93" t="s">
        <v>127</v>
      </c>
      <c r="AG318" s="93" t="s">
        <v>474</v>
      </c>
      <c r="AH318" s="92">
        <v>98101</v>
      </c>
      <c r="AI318" s="141"/>
      <c r="AJ318" s="93" t="s">
        <v>372</v>
      </c>
      <c r="AT318" s="103"/>
      <c r="AU318" s="92">
        <v>96</v>
      </c>
      <c r="AW318" s="93">
        <v>20</v>
      </c>
      <c r="AX318" s="93">
        <v>20</v>
      </c>
      <c r="AY318" s="93">
        <v>36</v>
      </c>
      <c r="AZ318" s="93">
        <v>20</v>
      </c>
      <c r="BF318" s="92"/>
      <c r="BG318" s="92"/>
      <c r="BH318" s="92"/>
      <c r="BI318" s="92"/>
      <c r="BJ318" s="92"/>
      <c r="BK318" s="92"/>
      <c r="BL318" s="92"/>
      <c r="BM318" s="92"/>
      <c r="BN318" s="92"/>
      <c r="BR318" s="94">
        <v>3725000</v>
      </c>
      <c r="BS318" s="94" t="e">
        <f>VLOOKUP(M318,#REF!,2,TRUE)*(BR318/1000000)</f>
        <v>#REF!</v>
      </c>
      <c r="BT318" s="102" t="e">
        <f>VLOOKUP(M318,#REF!,3,TRUE)*(BR318/1000000)</f>
        <v>#REF!</v>
      </c>
    </row>
    <row r="319" spans="1:72" s="126" customFormat="1" x14ac:dyDescent="0.25">
      <c r="A319" s="124" t="s">
        <v>367</v>
      </c>
      <c r="B319" s="125">
        <v>1991</v>
      </c>
      <c r="C319" s="125" t="s">
        <v>1452</v>
      </c>
      <c r="D319" s="126" t="s">
        <v>1909</v>
      </c>
      <c r="E319" s="126" t="s">
        <v>1307</v>
      </c>
      <c r="F319" s="126" t="s">
        <v>1261</v>
      </c>
      <c r="G319" s="127">
        <v>59247</v>
      </c>
      <c r="H319" s="128"/>
      <c r="I319" s="128"/>
      <c r="J319" s="126" t="s">
        <v>903</v>
      </c>
      <c r="K319" s="129">
        <v>0.09</v>
      </c>
      <c r="L319" s="125" t="s">
        <v>453</v>
      </c>
      <c r="M319" s="126" t="s">
        <v>307</v>
      </c>
      <c r="N319" s="125" t="s">
        <v>45</v>
      </c>
      <c r="O319" s="130">
        <v>4</v>
      </c>
      <c r="P319" s="125"/>
      <c r="Q319" s="134">
        <v>35950</v>
      </c>
      <c r="R319" s="134"/>
      <c r="S319" s="134"/>
      <c r="T319" s="134"/>
      <c r="U319" s="132"/>
      <c r="V319" s="133"/>
      <c r="W319" s="124">
        <v>33329</v>
      </c>
      <c r="X319" s="124"/>
      <c r="Y319" s="8">
        <f t="shared" si="61"/>
        <v>33329</v>
      </c>
      <c r="Z319" s="46">
        <f t="shared" si="62"/>
        <v>38443</v>
      </c>
      <c r="AA319" s="136">
        <v>15</v>
      </c>
      <c r="AB319" s="135">
        <f t="shared" si="63"/>
        <v>43922</v>
      </c>
      <c r="AC319" s="126" t="s">
        <v>256</v>
      </c>
      <c r="AD319" s="126" t="s">
        <v>257</v>
      </c>
      <c r="AE319" s="126" t="s">
        <v>24</v>
      </c>
      <c r="AF319" s="126" t="s">
        <v>25</v>
      </c>
      <c r="AG319" s="126" t="s">
        <v>472</v>
      </c>
      <c r="AH319" s="125">
        <v>59218</v>
      </c>
      <c r="AI319" s="47"/>
      <c r="AJ319" s="126" t="s">
        <v>260</v>
      </c>
      <c r="AT319" s="138"/>
      <c r="AU319" s="125" t="s">
        <v>370</v>
      </c>
      <c r="AX319" s="126">
        <v>2</v>
      </c>
      <c r="AY319" s="126">
        <v>2</v>
      </c>
      <c r="BF319" s="125"/>
      <c r="BG319" s="125"/>
      <c r="BH319" s="125"/>
      <c r="BI319" s="125"/>
      <c r="BJ319" s="125"/>
      <c r="BK319" s="125"/>
      <c r="BL319" s="125"/>
      <c r="BM319" s="125"/>
      <c r="BN319" s="125"/>
      <c r="BR319" s="52">
        <v>78576</v>
      </c>
      <c r="BS319" s="52" t="e">
        <f>VLOOKUP(M319,#REF!,2,TRUE)*(BR319/1000000)</f>
        <v>#REF!</v>
      </c>
      <c r="BT319" s="43" t="e">
        <f>VLOOKUP(M319,#REF!,3,TRUE)*(BR319/1000000)</f>
        <v>#REF!</v>
      </c>
    </row>
    <row r="320" spans="1:72" s="93" customFormat="1" x14ac:dyDescent="0.25">
      <c r="A320" s="9" t="s">
        <v>367</v>
      </c>
      <c r="B320" s="92">
        <v>1991</v>
      </c>
      <c r="C320" s="92" t="s">
        <v>1452</v>
      </c>
      <c r="D320" s="93" t="s">
        <v>1972</v>
      </c>
      <c r="E320" s="93" t="s">
        <v>1306</v>
      </c>
      <c r="F320" s="93" t="s">
        <v>1260</v>
      </c>
      <c r="G320" s="95">
        <v>59087</v>
      </c>
      <c r="H320" s="114"/>
      <c r="I320" s="114"/>
      <c r="J320" s="93" t="s">
        <v>368</v>
      </c>
      <c r="K320" s="97">
        <v>0.09</v>
      </c>
      <c r="L320" s="92" t="s">
        <v>453</v>
      </c>
      <c r="M320" s="93" t="s">
        <v>1169</v>
      </c>
      <c r="N320" s="92" t="s">
        <v>45</v>
      </c>
      <c r="O320" s="98">
        <v>6</v>
      </c>
      <c r="P320" s="92"/>
      <c r="Q320" s="102">
        <v>96260</v>
      </c>
      <c r="R320" s="102"/>
      <c r="S320" s="102"/>
      <c r="T320" s="102"/>
      <c r="U320" s="100"/>
      <c r="V320" s="101"/>
      <c r="W320" s="9">
        <v>33543</v>
      </c>
      <c r="X320" s="9"/>
      <c r="Y320" s="8">
        <f t="shared" si="61"/>
        <v>33543</v>
      </c>
      <c r="Z320" s="46">
        <f t="shared" si="62"/>
        <v>38657</v>
      </c>
      <c r="AA320" s="5">
        <v>15</v>
      </c>
      <c r="AB320" s="140">
        <f t="shared" si="63"/>
        <v>44136</v>
      </c>
      <c r="AC320" s="93" t="s">
        <v>253</v>
      </c>
      <c r="AD320" s="93" t="s">
        <v>246</v>
      </c>
      <c r="AE320" s="93" t="s">
        <v>16</v>
      </c>
      <c r="AF320" s="93" t="s">
        <v>17</v>
      </c>
      <c r="AG320" s="93" t="s">
        <v>472</v>
      </c>
      <c r="AH320" s="92" t="s">
        <v>18</v>
      </c>
      <c r="AI320" s="47"/>
      <c r="AJ320" s="93" t="s">
        <v>333</v>
      </c>
      <c r="AT320" s="103"/>
      <c r="AU320" s="92" t="s">
        <v>369</v>
      </c>
      <c r="AX320" s="93">
        <v>4</v>
      </c>
      <c r="AY320" s="93">
        <v>2</v>
      </c>
      <c r="BF320" s="92"/>
      <c r="BG320" s="92"/>
      <c r="BH320" s="92"/>
      <c r="BI320" s="92"/>
      <c r="BJ320" s="92"/>
      <c r="BK320" s="92"/>
      <c r="BL320" s="92"/>
      <c r="BM320" s="92"/>
      <c r="BN320" s="92"/>
      <c r="BR320" s="52">
        <v>269478</v>
      </c>
      <c r="BS320" s="52" t="e">
        <f>VLOOKUP(M320,#REF!,2,TRUE)*(BR320/1000000)</f>
        <v>#REF!</v>
      </c>
      <c r="BT320" s="43" t="e">
        <f>VLOOKUP(M320,#REF!,3,TRUE)*(BR320/1000000)</f>
        <v>#REF!</v>
      </c>
    </row>
    <row r="321" spans="1:72" s="93" customFormat="1" x14ac:dyDescent="0.25">
      <c r="A321" s="9" t="s">
        <v>359</v>
      </c>
      <c r="B321" s="92">
        <v>1991</v>
      </c>
      <c r="C321" s="92" t="s">
        <v>1452</v>
      </c>
      <c r="D321" s="93" t="s">
        <v>1458</v>
      </c>
      <c r="E321" s="93" t="s">
        <v>1305</v>
      </c>
      <c r="F321" s="93" t="s">
        <v>1031</v>
      </c>
      <c r="G321" s="95">
        <v>59937</v>
      </c>
      <c r="H321" s="114"/>
      <c r="I321" s="114"/>
      <c r="J321" s="93" t="s">
        <v>343</v>
      </c>
      <c r="K321" s="97">
        <v>0.09</v>
      </c>
      <c r="L321" s="92" t="s">
        <v>453</v>
      </c>
      <c r="M321" s="93" t="s">
        <v>1169</v>
      </c>
      <c r="N321" s="92" t="s">
        <v>443</v>
      </c>
      <c r="O321" s="98">
        <v>40</v>
      </c>
      <c r="P321" s="92"/>
      <c r="Q321" s="102">
        <v>822270</v>
      </c>
      <c r="R321" s="102"/>
      <c r="S321" s="102"/>
      <c r="T321" s="102"/>
      <c r="U321" s="100"/>
      <c r="V321" s="101"/>
      <c r="W321" s="9">
        <v>33847</v>
      </c>
      <c r="X321" s="9"/>
      <c r="Y321" s="8">
        <f t="shared" si="61"/>
        <v>33847</v>
      </c>
      <c r="Z321" s="46">
        <f t="shared" si="62"/>
        <v>38960</v>
      </c>
      <c r="AA321" s="5">
        <v>15</v>
      </c>
      <c r="AB321" s="140">
        <f t="shared" si="63"/>
        <v>44439</v>
      </c>
      <c r="AC321" s="93" t="s">
        <v>585</v>
      </c>
      <c r="AD321" s="93" t="s">
        <v>255</v>
      </c>
      <c r="AE321" s="93" t="s">
        <v>484</v>
      </c>
      <c r="AF321" s="93" t="s">
        <v>23</v>
      </c>
      <c r="AG321" s="93" t="s">
        <v>473</v>
      </c>
      <c r="AH321" s="92">
        <v>80906</v>
      </c>
      <c r="AI321" s="47"/>
      <c r="AJ321" s="93" t="s">
        <v>731</v>
      </c>
      <c r="AT321" s="103"/>
      <c r="AU321" s="92" t="s">
        <v>366</v>
      </c>
      <c r="AX321" s="93">
        <v>8</v>
      </c>
      <c r="AY321" s="93">
        <v>32</v>
      </c>
      <c r="BF321" s="92"/>
      <c r="BG321" s="92"/>
      <c r="BH321" s="92"/>
      <c r="BI321" s="92"/>
      <c r="BJ321" s="92"/>
      <c r="BK321" s="92"/>
      <c r="BL321" s="92"/>
      <c r="BM321" s="92"/>
      <c r="BN321" s="92"/>
      <c r="BR321" s="52">
        <v>1972480</v>
      </c>
      <c r="BS321" s="52" t="e">
        <f>VLOOKUP(M321,#REF!,2,TRUE)*(BR321/1000000)</f>
        <v>#REF!</v>
      </c>
      <c r="BT321" s="43" t="e">
        <f>VLOOKUP(M321,#REF!,3,TRUE)*(BR321/1000000)</f>
        <v>#REF!</v>
      </c>
    </row>
    <row r="322" spans="1:72" s="93" customFormat="1" x14ac:dyDescent="0.25">
      <c r="A322" s="9" t="s">
        <v>359</v>
      </c>
      <c r="B322" s="92">
        <v>1991</v>
      </c>
      <c r="C322" s="125" t="s">
        <v>1452</v>
      </c>
      <c r="D322" s="93" t="s">
        <v>1153</v>
      </c>
      <c r="E322" s="93" t="s">
        <v>1304</v>
      </c>
      <c r="F322" s="93" t="s">
        <v>1259</v>
      </c>
      <c r="G322" s="95">
        <v>59427</v>
      </c>
      <c r="H322" s="114"/>
      <c r="I322" s="114"/>
      <c r="J322" s="93" t="s">
        <v>361</v>
      </c>
      <c r="K322" s="97">
        <v>0.09</v>
      </c>
      <c r="L322" s="92" t="s">
        <v>453</v>
      </c>
      <c r="M322" s="93" t="s">
        <v>1169</v>
      </c>
      <c r="N322" s="92" t="s">
        <v>443</v>
      </c>
      <c r="O322" s="98">
        <v>19</v>
      </c>
      <c r="P322" s="92"/>
      <c r="Q322" s="102">
        <v>316590</v>
      </c>
      <c r="R322" s="102"/>
      <c r="S322" s="102"/>
      <c r="T322" s="102"/>
      <c r="U322" s="100"/>
      <c r="V322" s="101"/>
      <c r="W322" s="9">
        <v>33756</v>
      </c>
      <c r="X322" s="9"/>
      <c r="Y322" s="8">
        <f t="shared" si="61"/>
        <v>33756</v>
      </c>
      <c r="Z322" s="46">
        <f t="shared" si="62"/>
        <v>38869</v>
      </c>
      <c r="AA322" s="5">
        <v>15</v>
      </c>
      <c r="AB322" s="140">
        <f t="shared" si="63"/>
        <v>44348</v>
      </c>
      <c r="AC322" s="93" t="s">
        <v>37</v>
      </c>
      <c r="AD322" s="93" t="s">
        <v>242</v>
      </c>
      <c r="AE322" s="93" t="s">
        <v>14</v>
      </c>
      <c r="AF322" s="93" t="s">
        <v>15</v>
      </c>
      <c r="AG322" s="93" t="s">
        <v>472</v>
      </c>
      <c r="AH322" s="92">
        <v>59427</v>
      </c>
      <c r="AI322" s="47"/>
      <c r="AJ322" s="93" t="s">
        <v>645</v>
      </c>
      <c r="AT322" s="103"/>
      <c r="AU322" s="92">
        <v>19</v>
      </c>
      <c r="AX322" s="93">
        <v>17</v>
      </c>
      <c r="AY322" s="93">
        <v>2</v>
      </c>
      <c r="BF322" s="92"/>
      <c r="BG322" s="92"/>
      <c r="BH322" s="92"/>
      <c r="BI322" s="92"/>
      <c r="BJ322" s="92"/>
      <c r="BK322" s="92"/>
      <c r="BL322" s="92"/>
      <c r="BM322" s="92"/>
      <c r="BN322" s="92"/>
      <c r="BR322" s="52">
        <v>1034474</v>
      </c>
      <c r="BS322" s="52" t="e">
        <f>VLOOKUP(M322,#REF!,2,TRUE)*(BR322/1000000)</f>
        <v>#REF!</v>
      </c>
      <c r="BT322" s="43" t="e">
        <f>VLOOKUP(M322,#REF!,3,TRUE)*(BR322/1000000)</f>
        <v>#REF!</v>
      </c>
    </row>
    <row r="323" spans="1:72" s="126" customFormat="1" x14ac:dyDescent="0.25">
      <c r="A323" s="124" t="s">
        <v>359</v>
      </c>
      <c r="B323" s="125">
        <v>1991</v>
      </c>
      <c r="C323" s="125" t="s">
        <v>1452</v>
      </c>
      <c r="D323" s="126" t="s">
        <v>1907</v>
      </c>
      <c r="E323" s="126" t="s">
        <v>1303</v>
      </c>
      <c r="F323" s="126" t="s">
        <v>192</v>
      </c>
      <c r="G323" s="127">
        <v>59101</v>
      </c>
      <c r="H323" s="128"/>
      <c r="I323" s="128"/>
      <c r="J323" s="126" t="s">
        <v>898</v>
      </c>
      <c r="K323" s="129">
        <v>0.09</v>
      </c>
      <c r="L323" s="125" t="s">
        <v>453</v>
      </c>
      <c r="M323" s="126" t="s">
        <v>1169</v>
      </c>
      <c r="N323" s="125" t="s">
        <v>443</v>
      </c>
      <c r="O323" s="130">
        <v>9</v>
      </c>
      <c r="P323" s="125"/>
      <c r="Q323" s="134">
        <v>290070</v>
      </c>
      <c r="R323" s="134"/>
      <c r="S323" s="134"/>
      <c r="T323" s="134"/>
      <c r="U323" s="132"/>
      <c r="V323" s="133"/>
      <c r="W323" s="124">
        <v>33543</v>
      </c>
      <c r="X323" s="124"/>
      <c r="Y323" s="8">
        <f t="shared" si="61"/>
        <v>33543</v>
      </c>
      <c r="Z323" s="46">
        <f t="shared" si="62"/>
        <v>38657</v>
      </c>
      <c r="AA323" s="136">
        <v>15</v>
      </c>
      <c r="AB323" s="135">
        <f t="shared" si="63"/>
        <v>44136</v>
      </c>
      <c r="AC323" s="126" t="s">
        <v>157</v>
      </c>
      <c r="AD323" s="126" t="s">
        <v>246</v>
      </c>
      <c r="AE323" s="126" t="s">
        <v>16</v>
      </c>
      <c r="AF323" s="126" t="s">
        <v>17</v>
      </c>
      <c r="AG323" s="126" t="s">
        <v>472</v>
      </c>
      <c r="AH323" s="125" t="s">
        <v>18</v>
      </c>
      <c r="AI323" s="47"/>
      <c r="AJ323" s="126" t="s">
        <v>232</v>
      </c>
      <c r="AT323" s="138"/>
      <c r="AU323" s="125" t="s">
        <v>360</v>
      </c>
      <c r="AX323" s="126">
        <v>6</v>
      </c>
      <c r="AY323" s="126">
        <v>3</v>
      </c>
      <c r="BF323" s="125"/>
      <c r="BG323" s="125"/>
      <c r="BH323" s="125"/>
      <c r="BI323" s="125"/>
      <c r="BJ323" s="125"/>
      <c r="BK323" s="125"/>
      <c r="BL323" s="125"/>
      <c r="BM323" s="125"/>
      <c r="BN323" s="125"/>
      <c r="BR323" s="52">
        <v>374100</v>
      </c>
      <c r="BS323" s="52" t="e">
        <f>VLOOKUP(M323,#REF!,2,TRUE)*(BR323/1000000)</f>
        <v>#REF!</v>
      </c>
      <c r="BT323" s="43" t="e">
        <f>VLOOKUP(M323,#REF!,3,TRUE)*(BR323/1000000)</f>
        <v>#REF!</v>
      </c>
    </row>
    <row r="324" spans="1:72" s="126" customFormat="1" x14ac:dyDescent="0.25">
      <c r="A324" s="124" t="s">
        <v>355</v>
      </c>
      <c r="B324" s="125">
        <v>1990</v>
      </c>
      <c r="C324" s="125" t="s">
        <v>1452</v>
      </c>
      <c r="D324" s="126" t="s">
        <v>1457</v>
      </c>
      <c r="E324" s="126" t="s">
        <v>1302</v>
      </c>
      <c r="F324" s="126" t="s">
        <v>920</v>
      </c>
      <c r="G324" s="127">
        <v>59860</v>
      </c>
      <c r="H324" s="128"/>
      <c r="I324" s="128"/>
      <c r="J324" s="126" t="s">
        <v>318</v>
      </c>
      <c r="K324" s="129">
        <v>0.09</v>
      </c>
      <c r="L324" s="125" t="s">
        <v>453</v>
      </c>
      <c r="M324" s="126" t="s">
        <v>1169</v>
      </c>
      <c r="N324" s="125" t="s">
        <v>443</v>
      </c>
      <c r="O324" s="130">
        <v>28</v>
      </c>
      <c r="P324" s="125"/>
      <c r="Q324" s="134">
        <v>562380</v>
      </c>
      <c r="R324" s="134"/>
      <c r="S324" s="134"/>
      <c r="T324" s="134"/>
      <c r="U324" s="132"/>
      <c r="V324" s="133"/>
      <c r="W324" s="124">
        <v>33227</v>
      </c>
      <c r="X324" s="124"/>
      <c r="Y324" s="8">
        <f t="shared" si="61"/>
        <v>33227</v>
      </c>
      <c r="Z324" s="46">
        <f t="shared" si="62"/>
        <v>38341</v>
      </c>
      <c r="AA324" s="136">
        <v>15</v>
      </c>
      <c r="AB324" s="135">
        <f t="shared" si="63"/>
        <v>43819</v>
      </c>
      <c r="AC324" s="126" t="s">
        <v>22</v>
      </c>
      <c r="AD324" s="126" t="s">
        <v>21</v>
      </c>
      <c r="AE324" s="126" t="s">
        <v>484</v>
      </c>
      <c r="AF324" s="126" t="s">
        <v>23</v>
      </c>
      <c r="AG324" s="126" t="s">
        <v>473</v>
      </c>
      <c r="AH324" s="125">
        <v>80925</v>
      </c>
      <c r="AI324" s="47"/>
      <c r="AJ324" s="126" t="s">
        <v>319</v>
      </c>
      <c r="AT324" s="138"/>
      <c r="AU324" s="125">
        <v>28</v>
      </c>
      <c r="AX324" s="126">
        <v>22</v>
      </c>
      <c r="AY324" s="126">
        <v>6</v>
      </c>
      <c r="BF324" s="125"/>
      <c r="BG324" s="125"/>
      <c r="BH324" s="125"/>
      <c r="BI324" s="125"/>
      <c r="BJ324" s="125"/>
      <c r="BK324" s="125"/>
      <c r="BL324" s="125"/>
      <c r="BM324" s="125"/>
      <c r="BN324" s="125"/>
      <c r="BR324" s="52">
        <v>1201116</v>
      </c>
      <c r="BS324" s="52" t="e">
        <f>VLOOKUP(M324,#REF!,2,TRUE)*(BR324/1000000)</f>
        <v>#REF!</v>
      </c>
      <c r="BT324" s="43" t="e">
        <f>VLOOKUP(M324,#REF!,3,TRUE)*(BR324/1000000)</f>
        <v>#REF!</v>
      </c>
    </row>
    <row r="325" spans="1:72" s="126" customFormat="1" x14ac:dyDescent="0.25">
      <c r="A325" s="124" t="s">
        <v>355</v>
      </c>
      <c r="B325" s="125">
        <v>1990</v>
      </c>
      <c r="C325" s="125" t="s">
        <v>1452</v>
      </c>
      <c r="D325" s="126" t="s">
        <v>1051</v>
      </c>
      <c r="E325" s="126" t="s">
        <v>1301</v>
      </c>
      <c r="F325" s="126" t="s">
        <v>1029</v>
      </c>
      <c r="G325" s="127">
        <v>59870</v>
      </c>
      <c r="H325" s="128"/>
      <c r="I325" s="128"/>
      <c r="J325" s="126" t="s">
        <v>356</v>
      </c>
      <c r="K325" s="129">
        <v>0.09</v>
      </c>
      <c r="L325" s="125" t="s">
        <v>453</v>
      </c>
      <c r="M325" s="126" t="s">
        <v>1169</v>
      </c>
      <c r="N325" s="125" t="s">
        <v>443</v>
      </c>
      <c r="O325" s="130">
        <v>30</v>
      </c>
      <c r="P325" s="125"/>
      <c r="Q325" s="134">
        <v>371780</v>
      </c>
      <c r="R325" s="134"/>
      <c r="S325" s="134"/>
      <c r="T325" s="134"/>
      <c r="U325" s="132"/>
      <c r="V325" s="133"/>
      <c r="W325" s="124">
        <v>33270</v>
      </c>
      <c r="X325" s="124"/>
      <c r="Y325" s="8">
        <f t="shared" si="61"/>
        <v>33270</v>
      </c>
      <c r="Z325" s="46">
        <f t="shared" si="62"/>
        <v>38384</v>
      </c>
      <c r="AA325" s="136">
        <v>15</v>
      </c>
      <c r="AB325" s="135">
        <f t="shared" si="63"/>
        <v>43862</v>
      </c>
      <c r="AC325" s="126" t="s">
        <v>614</v>
      </c>
      <c r="AD325" s="126" t="s">
        <v>182</v>
      </c>
      <c r="AE325" s="126" t="s">
        <v>116</v>
      </c>
      <c r="AF325" s="126" t="s">
        <v>20</v>
      </c>
      <c r="AG325" s="126" t="s">
        <v>472</v>
      </c>
      <c r="AH325" s="125">
        <v>59801</v>
      </c>
      <c r="AI325" s="47"/>
      <c r="AJ325" s="126" t="s">
        <v>615</v>
      </c>
      <c r="AT325" s="138"/>
      <c r="AU325" s="125">
        <v>30</v>
      </c>
      <c r="AX325" s="126">
        <v>26</v>
      </c>
      <c r="AY325" s="126">
        <v>4</v>
      </c>
      <c r="BF325" s="125"/>
      <c r="BG325" s="125"/>
      <c r="BH325" s="125"/>
      <c r="BI325" s="125"/>
      <c r="BJ325" s="125"/>
      <c r="BK325" s="125"/>
      <c r="BL325" s="125"/>
      <c r="BM325" s="125"/>
      <c r="BN325" s="125"/>
      <c r="BR325" s="52">
        <v>1044900</v>
      </c>
      <c r="BS325" s="52" t="e">
        <f>VLOOKUP(M325,#REF!,2,TRUE)*(BR325/1000000)</f>
        <v>#REF!</v>
      </c>
      <c r="BT325" s="43" t="e">
        <f>VLOOKUP(M325,#REF!,3,TRUE)*(BR325/1000000)</f>
        <v>#REF!</v>
      </c>
    </row>
    <row r="326" spans="1:72" s="126" customFormat="1" x14ac:dyDescent="0.25">
      <c r="A326" s="124" t="s">
        <v>354</v>
      </c>
      <c r="B326" s="125">
        <v>1990</v>
      </c>
      <c r="C326" s="125" t="s">
        <v>1452</v>
      </c>
      <c r="D326" s="126" t="s">
        <v>1456</v>
      </c>
      <c r="E326" s="126" t="s">
        <v>1300</v>
      </c>
      <c r="F326" s="126" t="s">
        <v>192</v>
      </c>
      <c r="G326" s="127">
        <v>95101</v>
      </c>
      <c r="H326" s="128"/>
      <c r="I326" s="128"/>
      <c r="J326" s="126" t="s">
        <v>300</v>
      </c>
      <c r="K326" s="129">
        <v>0.09</v>
      </c>
      <c r="L326" s="125" t="s">
        <v>453</v>
      </c>
      <c r="M326" s="126" t="s">
        <v>1169</v>
      </c>
      <c r="N326" s="125" t="s">
        <v>443</v>
      </c>
      <c r="O326" s="130">
        <v>9</v>
      </c>
      <c r="P326" s="125"/>
      <c r="Q326" s="134">
        <v>301130</v>
      </c>
      <c r="R326" s="134"/>
      <c r="S326" s="134"/>
      <c r="T326" s="134"/>
      <c r="U326" s="132"/>
      <c r="V326" s="133"/>
      <c r="W326" s="124">
        <v>33359</v>
      </c>
      <c r="X326" s="124"/>
      <c r="Y326" s="8">
        <f t="shared" si="61"/>
        <v>33359</v>
      </c>
      <c r="Z326" s="46">
        <f t="shared" si="62"/>
        <v>38473</v>
      </c>
      <c r="AA326" s="136">
        <v>15</v>
      </c>
      <c r="AB326" s="135">
        <f t="shared" si="63"/>
        <v>43952</v>
      </c>
      <c r="AC326" s="126" t="s">
        <v>156</v>
      </c>
      <c r="AD326" s="126" t="s">
        <v>246</v>
      </c>
      <c r="AE326" s="126" t="s">
        <v>16</v>
      </c>
      <c r="AF326" s="126" t="s">
        <v>17</v>
      </c>
      <c r="AG326" s="126" t="s">
        <v>472</v>
      </c>
      <c r="AH326" s="125" t="s">
        <v>18</v>
      </c>
      <c r="AI326" s="47"/>
      <c r="AJ326" s="126" t="s">
        <v>232</v>
      </c>
      <c r="AT326" s="138"/>
      <c r="AU326" s="125">
        <v>9</v>
      </c>
      <c r="AX326" s="126">
        <v>6</v>
      </c>
      <c r="AY326" s="126">
        <v>3</v>
      </c>
      <c r="BF326" s="125"/>
      <c r="BG326" s="125"/>
      <c r="BH326" s="125"/>
      <c r="BI326" s="125"/>
      <c r="BJ326" s="125"/>
      <c r="BK326" s="125"/>
      <c r="BL326" s="125"/>
      <c r="BM326" s="125"/>
      <c r="BN326" s="125"/>
      <c r="BR326" s="52">
        <v>382383</v>
      </c>
      <c r="BS326" s="52" t="e">
        <f>VLOOKUP(M326,#REF!,2,TRUE)*(BR326/1000000)</f>
        <v>#REF!</v>
      </c>
      <c r="BT326" s="43" t="e">
        <f>VLOOKUP(M326,#REF!,3,TRUE)*(BR326/1000000)</f>
        <v>#REF!</v>
      </c>
    </row>
    <row r="327" spans="1:72" s="126" customFormat="1" x14ac:dyDescent="0.25">
      <c r="A327" s="124" t="s">
        <v>342</v>
      </c>
      <c r="B327" s="125">
        <v>1990</v>
      </c>
      <c r="C327" s="125" t="s">
        <v>1452</v>
      </c>
      <c r="D327" s="126" t="s">
        <v>1455</v>
      </c>
      <c r="E327" s="126" t="s">
        <v>1299</v>
      </c>
      <c r="F327" s="126" t="s">
        <v>1164</v>
      </c>
      <c r="G327" s="127">
        <v>59912</v>
      </c>
      <c r="H327" s="128"/>
      <c r="I327" s="128"/>
      <c r="J327" s="126" t="s">
        <v>343</v>
      </c>
      <c r="K327" s="129">
        <v>0.09</v>
      </c>
      <c r="L327" s="125" t="s">
        <v>453</v>
      </c>
      <c r="M327" s="126" t="s">
        <v>1169</v>
      </c>
      <c r="N327" s="125" t="s">
        <v>443</v>
      </c>
      <c r="O327" s="130">
        <v>12</v>
      </c>
      <c r="P327" s="125"/>
      <c r="Q327" s="134">
        <v>172160</v>
      </c>
      <c r="R327" s="134"/>
      <c r="S327" s="134"/>
      <c r="T327" s="134"/>
      <c r="U327" s="132"/>
      <c r="V327" s="133"/>
      <c r="W327" s="124">
        <v>33298</v>
      </c>
      <c r="X327" s="124"/>
      <c r="Y327" s="8">
        <f t="shared" si="61"/>
        <v>33298</v>
      </c>
      <c r="Z327" s="46">
        <f t="shared" si="62"/>
        <v>38412</v>
      </c>
      <c r="AA327" s="136">
        <v>15</v>
      </c>
      <c r="AB327" s="135">
        <f t="shared" si="63"/>
        <v>43891</v>
      </c>
      <c r="AC327" s="126" t="s">
        <v>144</v>
      </c>
      <c r="AD327" s="126" t="s">
        <v>252</v>
      </c>
      <c r="AE327" s="126" t="s">
        <v>566</v>
      </c>
      <c r="AF327" s="126" t="s">
        <v>567</v>
      </c>
      <c r="AG327" s="126" t="s">
        <v>475</v>
      </c>
      <c r="AH327" s="125">
        <v>90814</v>
      </c>
      <c r="AI327" s="47"/>
      <c r="AJ327" s="127" t="s">
        <v>280</v>
      </c>
      <c r="AK327" s="127"/>
      <c r="AL327" s="127"/>
      <c r="AM327" s="127"/>
      <c r="AN327" s="127"/>
      <c r="AO327" s="127"/>
      <c r="AP327" s="127"/>
      <c r="AQ327" s="127"/>
      <c r="AR327" s="127"/>
      <c r="AS327" s="127"/>
      <c r="AT327" s="138"/>
      <c r="AU327" s="125">
        <v>12</v>
      </c>
      <c r="AX327" s="126">
        <v>8</v>
      </c>
      <c r="AY327" s="126">
        <v>4</v>
      </c>
      <c r="BF327" s="125"/>
      <c r="BG327" s="125"/>
      <c r="BH327" s="125"/>
      <c r="BI327" s="125"/>
      <c r="BJ327" s="125"/>
      <c r="BK327" s="125"/>
      <c r="BL327" s="125"/>
      <c r="BM327" s="125"/>
      <c r="BN327" s="125"/>
      <c r="BR327" s="52">
        <v>609960</v>
      </c>
      <c r="BS327" s="52" t="e">
        <f>VLOOKUP(M327,#REF!,2,TRUE)*(BR327/1000000)</f>
        <v>#REF!</v>
      </c>
      <c r="BT327" s="43" t="e">
        <f>VLOOKUP(M327,#REF!,3,TRUE)*(BR327/1000000)</f>
        <v>#REF!</v>
      </c>
    </row>
    <row r="328" spans="1:72" s="126" customFormat="1" x14ac:dyDescent="0.25">
      <c r="A328" s="124" t="s">
        <v>342</v>
      </c>
      <c r="B328" s="125">
        <v>1990</v>
      </c>
      <c r="C328" s="125" t="s">
        <v>1452</v>
      </c>
      <c r="D328" s="126" t="s">
        <v>1454</v>
      </c>
      <c r="E328" s="126" t="s">
        <v>1298</v>
      </c>
      <c r="F328" s="126" t="s">
        <v>46</v>
      </c>
      <c r="G328" s="127">
        <v>59901</v>
      </c>
      <c r="H328" s="128"/>
      <c r="I328" s="128"/>
      <c r="J328" s="126" t="s">
        <v>343</v>
      </c>
      <c r="K328" s="129">
        <v>0.09</v>
      </c>
      <c r="L328" s="125" t="s">
        <v>453</v>
      </c>
      <c r="M328" s="126" t="s">
        <v>1169</v>
      </c>
      <c r="N328" s="125" t="s">
        <v>443</v>
      </c>
      <c r="O328" s="130">
        <v>39</v>
      </c>
      <c r="P328" s="125"/>
      <c r="Q328" s="134">
        <v>656960</v>
      </c>
      <c r="R328" s="134"/>
      <c r="S328" s="134"/>
      <c r="T328" s="134"/>
      <c r="U328" s="132"/>
      <c r="V328" s="133"/>
      <c r="W328" s="124">
        <v>33763</v>
      </c>
      <c r="X328" s="124"/>
      <c r="Y328" s="8">
        <f t="shared" si="61"/>
        <v>33763</v>
      </c>
      <c r="Z328" s="46">
        <f t="shared" si="62"/>
        <v>38876</v>
      </c>
      <c r="AA328" s="136">
        <v>15</v>
      </c>
      <c r="AB328" s="135">
        <f t="shared" si="63"/>
        <v>44355</v>
      </c>
      <c r="AC328" s="126" t="s">
        <v>547</v>
      </c>
      <c r="AD328" s="126" t="s">
        <v>548</v>
      </c>
      <c r="AE328" s="126" t="s">
        <v>549</v>
      </c>
      <c r="AF328" s="126" t="s">
        <v>550</v>
      </c>
      <c r="AG328" s="126" t="s">
        <v>475</v>
      </c>
      <c r="AH328" s="125">
        <v>95604</v>
      </c>
      <c r="AI328" s="47"/>
      <c r="AJ328" s="126" t="s">
        <v>310</v>
      </c>
      <c r="AT328" s="138"/>
      <c r="AU328" s="125">
        <v>40</v>
      </c>
      <c r="AX328" s="126">
        <v>39</v>
      </c>
      <c r="AY328" s="126">
        <v>1</v>
      </c>
      <c r="BF328" s="125"/>
      <c r="BG328" s="125"/>
      <c r="BH328" s="125"/>
      <c r="BI328" s="125"/>
      <c r="BJ328" s="125"/>
      <c r="BK328" s="125"/>
      <c r="BL328" s="125"/>
      <c r="BM328" s="125"/>
      <c r="BN328" s="125"/>
      <c r="BR328" s="52">
        <v>1822071</v>
      </c>
      <c r="BS328" s="52" t="e">
        <f>VLOOKUP(M328,#REF!,2,TRUE)*(BR328/1000000)</f>
        <v>#REF!</v>
      </c>
      <c r="BT328" s="43" t="e">
        <f>VLOOKUP(M328,#REF!,3,TRUE)*(BR328/1000000)</f>
        <v>#REF!</v>
      </c>
    </row>
    <row r="329" spans="1:72" x14ac:dyDescent="0.25">
      <c r="A329" s="9" t="s">
        <v>341</v>
      </c>
      <c r="B329" s="92">
        <v>1989</v>
      </c>
      <c r="C329" s="92" t="s">
        <v>1452</v>
      </c>
      <c r="D329" s="93" t="s">
        <v>1572</v>
      </c>
      <c r="E329" s="93" t="s">
        <v>1297</v>
      </c>
      <c r="F329" s="93" t="s">
        <v>338</v>
      </c>
      <c r="G329" s="95">
        <v>59801</v>
      </c>
      <c r="H329" s="114"/>
      <c r="I329" s="114"/>
      <c r="J329" s="93" t="s">
        <v>338</v>
      </c>
      <c r="K329" s="97">
        <v>0.09</v>
      </c>
      <c r="L329" s="92" t="s">
        <v>453</v>
      </c>
      <c r="M329" s="93" t="s">
        <v>1169</v>
      </c>
      <c r="N329" s="92" t="s">
        <v>45</v>
      </c>
      <c r="O329" s="98">
        <v>4</v>
      </c>
      <c r="P329" s="92"/>
      <c r="Q329" s="102">
        <v>85210</v>
      </c>
      <c r="R329" s="102"/>
      <c r="S329" s="102"/>
      <c r="T329" s="102"/>
      <c r="U329" s="100"/>
      <c r="V329" s="101"/>
      <c r="W329" s="8">
        <v>32933</v>
      </c>
      <c r="Y329" s="8">
        <f t="shared" si="61"/>
        <v>32933</v>
      </c>
      <c r="Z329" s="46">
        <f t="shared" si="62"/>
        <v>38047</v>
      </c>
      <c r="AA329" s="5"/>
      <c r="AB329" s="140"/>
      <c r="AC329" s="93" t="s">
        <v>250</v>
      </c>
      <c r="AD329" s="93"/>
      <c r="AE329" s="93" t="s">
        <v>19</v>
      </c>
      <c r="AF329" s="93" t="s">
        <v>20</v>
      </c>
      <c r="AG329" s="93" t="s">
        <v>472</v>
      </c>
      <c r="AH329" s="92">
        <v>59803</v>
      </c>
      <c r="AI329" s="47"/>
      <c r="AJ329" s="93" t="s">
        <v>516</v>
      </c>
      <c r="AK329" s="93"/>
      <c r="AL329" s="93"/>
      <c r="AM329" s="93"/>
      <c r="AN329" s="93"/>
      <c r="AO329" s="93"/>
      <c r="AP329" s="93"/>
      <c r="AQ329" s="93"/>
      <c r="AR329" s="93"/>
      <c r="AS329" s="93"/>
      <c r="AT329" s="103"/>
      <c r="AU329" s="92">
        <v>4</v>
      </c>
      <c r="AV329" s="93"/>
      <c r="AW329" s="93"/>
      <c r="AX329" s="93"/>
      <c r="AY329" s="93">
        <v>4</v>
      </c>
      <c r="AZ329" s="93"/>
      <c r="BA329" s="93"/>
      <c r="BB329" s="93"/>
      <c r="BC329" s="93"/>
      <c r="BD329" s="93"/>
      <c r="BE329" s="93"/>
      <c r="BR329" s="52">
        <v>95000</v>
      </c>
      <c r="BS329" s="52" t="e">
        <f>VLOOKUP(M329,#REF!,2,TRUE)*(BR329/1000000)</f>
        <v>#REF!</v>
      </c>
      <c r="BT329" s="43" t="e">
        <f>VLOOKUP(M329,#REF!,3,TRUE)*(BR329/1000000)</f>
        <v>#REF!</v>
      </c>
    </row>
    <row r="330" spans="1:72" x14ac:dyDescent="0.25">
      <c r="A330" s="9" t="s">
        <v>335</v>
      </c>
      <c r="B330" s="92">
        <v>1989</v>
      </c>
      <c r="C330" s="92" t="s">
        <v>1452</v>
      </c>
      <c r="D330" s="93" t="s">
        <v>1571</v>
      </c>
      <c r="E330" s="93" t="s">
        <v>1296</v>
      </c>
      <c r="F330" s="93" t="s">
        <v>192</v>
      </c>
      <c r="G330" s="95">
        <v>59101</v>
      </c>
      <c r="H330" s="114"/>
      <c r="I330" s="114"/>
      <c r="J330" s="93" t="s">
        <v>300</v>
      </c>
      <c r="K330" s="97">
        <v>0.09</v>
      </c>
      <c r="L330" s="92" t="s">
        <v>453</v>
      </c>
      <c r="M330" s="93" t="s">
        <v>1169</v>
      </c>
      <c r="N330" s="92" t="s">
        <v>443</v>
      </c>
      <c r="O330" s="98">
        <v>9</v>
      </c>
      <c r="P330" s="92"/>
      <c r="Q330" s="102">
        <v>264620</v>
      </c>
      <c r="R330" s="102"/>
      <c r="S330" s="102"/>
      <c r="T330" s="102"/>
      <c r="U330" s="100"/>
      <c r="V330" s="101"/>
      <c r="W330" s="8">
        <v>32964</v>
      </c>
      <c r="Y330" s="8">
        <f t="shared" si="61"/>
        <v>32964</v>
      </c>
      <c r="Z330" s="46">
        <f t="shared" si="62"/>
        <v>38078</v>
      </c>
      <c r="AA330" s="5"/>
      <c r="AB330" s="140"/>
      <c r="AC330" s="93" t="s">
        <v>139</v>
      </c>
      <c r="AD330" s="93" t="s">
        <v>246</v>
      </c>
      <c r="AE330" s="93" t="s">
        <v>16</v>
      </c>
      <c r="AF330" s="93" t="s">
        <v>17</v>
      </c>
      <c r="AG330" s="93" t="s">
        <v>472</v>
      </c>
      <c r="AH330" s="92" t="s">
        <v>18</v>
      </c>
      <c r="AI330" s="47"/>
      <c r="AJ330" s="93" t="s">
        <v>333</v>
      </c>
      <c r="AK330" s="93"/>
      <c r="AL330" s="93"/>
      <c r="AM330" s="93"/>
      <c r="AN330" s="93"/>
      <c r="AO330" s="93"/>
      <c r="AP330" s="93"/>
      <c r="AQ330" s="93"/>
      <c r="AR330" s="93"/>
      <c r="AS330" s="93"/>
      <c r="AT330" s="103"/>
      <c r="AU330" s="92">
        <v>9</v>
      </c>
      <c r="AV330" s="93"/>
      <c r="AW330" s="93"/>
      <c r="AX330" s="93">
        <v>6</v>
      </c>
      <c r="AY330" s="93">
        <v>3</v>
      </c>
      <c r="AZ330" s="93"/>
      <c r="BA330" s="93"/>
      <c r="BB330" s="93"/>
      <c r="BC330" s="93"/>
      <c r="BD330" s="93"/>
      <c r="BE330" s="93"/>
      <c r="BR330" s="52">
        <v>345300</v>
      </c>
      <c r="BS330" s="52" t="e">
        <f>VLOOKUP(M330,#REF!,2,TRUE)*(BR330/1000000)</f>
        <v>#REF!</v>
      </c>
      <c r="BT330" s="43" t="e">
        <f>VLOOKUP(M330,#REF!,3,TRUE)*(BR330/1000000)</f>
        <v>#REF!</v>
      </c>
    </row>
    <row r="331" spans="1:72" x14ac:dyDescent="0.25">
      <c r="A331" s="9" t="s">
        <v>337</v>
      </c>
      <c r="B331" s="92">
        <v>1989</v>
      </c>
      <c r="C331" s="92" t="s">
        <v>1452</v>
      </c>
      <c r="D331" s="93" t="s">
        <v>1570</v>
      </c>
      <c r="E331" s="93" t="s">
        <v>1295</v>
      </c>
      <c r="F331" s="93" t="s">
        <v>338</v>
      </c>
      <c r="G331" s="95">
        <v>59801</v>
      </c>
      <c r="H331" s="114"/>
      <c r="I331" s="114"/>
      <c r="J331" s="93" t="s">
        <v>338</v>
      </c>
      <c r="K331" s="97">
        <v>0.09</v>
      </c>
      <c r="L331" s="92" t="s">
        <v>453</v>
      </c>
      <c r="M331" s="93" t="s">
        <v>302</v>
      </c>
      <c r="N331" s="92" t="s">
        <v>45</v>
      </c>
      <c r="O331" s="98">
        <v>22</v>
      </c>
      <c r="P331" s="92"/>
      <c r="Q331" s="102">
        <v>423390</v>
      </c>
      <c r="R331" s="102"/>
      <c r="S331" s="102"/>
      <c r="T331" s="102"/>
      <c r="U331" s="100"/>
      <c r="V331" s="101"/>
      <c r="W331" s="8">
        <v>32660</v>
      </c>
      <c r="Y331" s="8">
        <f t="shared" si="61"/>
        <v>32660</v>
      </c>
      <c r="Z331" s="46">
        <f t="shared" si="62"/>
        <v>37773</v>
      </c>
      <c r="AA331" s="5"/>
      <c r="AB331" s="140"/>
      <c r="AC331" s="93" t="s">
        <v>248</v>
      </c>
      <c r="AD331" s="93" t="s">
        <v>249</v>
      </c>
      <c r="AE331" s="93" t="s">
        <v>226</v>
      </c>
      <c r="AF331" s="93" t="s">
        <v>122</v>
      </c>
      <c r="AG331" s="93" t="s">
        <v>474</v>
      </c>
      <c r="AH331" s="92" t="s">
        <v>227</v>
      </c>
      <c r="AI331" s="47"/>
      <c r="AJ331" s="93" t="s">
        <v>339</v>
      </c>
      <c r="AK331" s="93"/>
      <c r="AL331" s="93"/>
      <c r="AM331" s="93"/>
      <c r="AN331" s="93"/>
      <c r="AO331" s="93"/>
      <c r="AP331" s="93"/>
      <c r="AQ331" s="93"/>
      <c r="AR331" s="93"/>
      <c r="AS331" s="93"/>
      <c r="AT331" s="103"/>
      <c r="AU331" s="92">
        <v>22</v>
      </c>
      <c r="AV331" s="93"/>
      <c r="AW331" s="93">
        <v>6</v>
      </c>
      <c r="AX331" s="93">
        <v>6</v>
      </c>
      <c r="AY331" s="93">
        <v>10</v>
      </c>
      <c r="AZ331" s="93"/>
      <c r="BA331" s="93"/>
      <c r="BB331" s="93"/>
      <c r="BC331" s="93"/>
      <c r="BD331" s="93"/>
      <c r="BE331" s="93"/>
      <c r="BR331" s="52">
        <v>459716</v>
      </c>
      <c r="BS331" s="52" t="e">
        <f>VLOOKUP(M331,#REF!,2,TRUE)*(BR331/1000000)</f>
        <v>#REF!</v>
      </c>
      <c r="BT331" s="43" t="e">
        <f>VLOOKUP(M331,#REF!,3,TRUE)*(BR331/1000000)</f>
        <v>#REF!</v>
      </c>
    </row>
    <row r="332" spans="1:72" x14ac:dyDescent="0.25">
      <c r="A332" s="9" t="s">
        <v>335</v>
      </c>
      <c r="B332" s="92">
        <v>1989</v>
      </c>
      <c r="C332" s="92" t="s">
        <v>1452</v>
      </c>
      <c r="D332" s="93" t="s">
        <v>1569</v>
      </c>
      <c r="E332" s="93" t="s">
        <v>1294</v>
      </c>
      <c r="F332" s="93" t="s">
        <v>65</v>
      </c>
      <c r="G332" s="95">
        <v>59401</v>
      </c>
      <c r="H332" s="114"/>
      <c r="I332" s="114"/>
      <c r="J332" s="93" t="s">
        <v>308</v>
      </c>
      <c r="K332" s="97">
        <v>0.09</v>
      </c>
      <c r="L332" s="92" t="s">
        <v>453</v>
      </c>
      <c r="M332" s="93" t="s">
        <v>307</v>
      </c>
      <c r="N332" s="92" t="s">
        <v>45</v>
      </c>
      <c r="O332" s="98">
        <v>7</v>
      </c>
      <c r="P332" s="92"/>
      <c r="Q332" s="102">
        <v>46120</v>
      </c>
      <c r="R332" s="102"/>
      <c r="S332" s="102"/>
      <c r="T332" s="102"/>
      <c r="U332" s="100"/>
      <c r="V332" s="101"/>
      <c r="W332" s="8">
        <v>32660</v>
      </c>
      <c r="Y332" s="8">
        <f t="shared" si="61"/>
        <v>32660</v>
      </c>
      <c r="Z332" s="46">
        <f t="shared" si="62"/>
        <v>37773</v>
      </c>
      <c r="AA332" s="5"/>
      <c r="AB332" s="140"/>
      <c r="AC332" s="93" t="s">
        <v>159</v>
      </c>
      <c r="AD332" s="93" t="s">
        <v>160</v>
      </c>
      <c r="AE332" s="93" t="s">
        <v>396</v>
      </c>
      <c r="AF332" s="93" t="s">
        <v>121</v>
      </c>
      <c r="AG332" s="93" t="s">
        <v>472</v>
      </c>
      <c r="AH332" s="92">
        <v>59404</v>
      </c>
      <c r="AI332" s="47"/>
      <c r="AJ332" s="93" t="s">
        <v>336</v>
      </c>
      <c r="AK332" s="93"/>
      <c r="AL332" s="93"/>
      <c r="AM332" s="93"/>
      <c r="AN332" s="93"/>
      <c r="AO332" s="93"/>
      <c r="AP332" s="93"/>
      <c r="AQ332" s="93"/>
      <c r="AR332" s="93"/>
      <c r="AS332" s="93"/>
      <c r="AT332" s="103"/>
      <c r="AU332" s="92">
        <v>7</v>
      </c>
      <c r="AV332" s="93"/>
      <c r="AW332" s="93">
        <v>1</v>
      </c>
      <c r="AX332" s="93">
        <v>2</v>
      </c>
      <c r="AY332" s="93">
        <v>3</v>
      </c>
      <c r="AZ332" s="93">
        <v>1</v>
      </c>
      <c r="BA332" s="93"/>
      <c r="BB332" s="93"/>
      <c r="BC332" s="93"/>
      <c r="BD332" s="93"/>
      <c r="BE332" s="93"/>
      <c r="BR332" s="52">
        <v>237500</v>
      </c>
      <c r="BS332" s="52" t="e">
        <f>VLOOKUP(M332,#REF!,2,TRUE)*(BR332/1000000)</f>
        <v>#REF!</v>
      </c>
      <c r="BT332" s="43" t="e">
        <f>VLOOKUP(M332,#REF!,3,TRUE)*(BR332/1000000)</f>
        <v>#REF!</v>
      </c>
    </row>
    <row r="333" spans="1:72" x14ac:dyDescent="0.25">
      <c r="A333" s="9" t="s">
        <v>334</v>
      </c>
      <c r="B333" s="92">
        <v>1989</v>
      </c>
      <c r="C333" s="92" t="s">
        <v>1452</v>
      </c>
      <c r="D333" s="93" t="s">
        <v>1559</v>
      </c>
      <c r="E333" s="93" t="s">
        <v>1293</v>
      </c>
      <c r="F333" s="93" t="s">
        <v>760</v>
      </c>
      <c r="G333" s="95">
        <v>59501</v>
      </c>
      <c r="H333" s="114"/>
      <c r="I333" s="114"/>
      <c r="J333" s="93" t="s">
        <v>303</v>
      </c>
      <c r="K333" s="97">
        <v>0.09</v>
      </c>
      <c r="L333" s="92" t="s">
        <v>453</v>
      </c>
      <c r="M333" s="93" t="s">
        <v>307</v>
      </c>
      <c r="N333" s="92" t="s">
        <v>45</v>
      </c>
      <c r="O333" s="98">
        <v>5</v>
      </c>
      <c r="P333" s="92"/>
      <c r="Q333" s="102">
        <v>34000</v>
      </c>
      <c r="R333" s="102"/>
      <c r="S333" s="102"/>
      <c r="T333" s="102"/>
      <c r="U333" s="100"/>
      <c r="V333" s="101"/>
      <c r="W333" s="8">
        <v>32843</v>
      </c>
      <c r="Y333" s="8">
        <f t="shared" si="61"/>
        <v>32843</v>
      </c>
      <c r="Z333" s="46">
        <f t="shared" si="62"/>
        <v>37956</v>
      </c>
      <c r="AA333" s="5"/>
      <c r="AB333" s="140"/>
      <c r="AC333" s="93" t="s">
        <v>247</v>
      </c>
      <c r="AD333" s="93"/>
      <c r="AE333" s="93" t="s">
        <v>481</v>
      </c>
      <c r="AF333" s="93" t="s">
        <v>34</v>
      </c>
      <c r="AG333" s="93" t="s">
        <v>472</v>
      </c>
      <c r="AH333" s="92">
        <v>59501</v>
      </c>
      <c r="AI333" s="47"/>
      <c r="AJ333" s="93" t="s">
        <v>305</v>
      </c>
      <c r="AK333" s="93"/>
      <c r="AL333" s="93"/>
      <c r="AM333" s="93"/>
      <c r="AN333" s="93"/>
      <c r="AO333" s="93"/>
      <c r="AP333" s="93"/>
      <c r="AQ333" s="93"/>
      <c r="AR333" s="93"/>
      <c r="AS333" s="93"/>
      <c r="AT333" s="103"/>
      <c r="AU333" s="92">
        <v>5</v>
      </c>
      <c r="AV333" s="93"/>
      <c r="AW333" s="93"/>
      <c r="AX333" s="93"/>
      <c r="AY333" s="93">
        <v>1</v>
      </c>
      <c r="AZ333" s="93">
        <v>4</v>
      </c>
      <c r="BA333" s="93"/>
      <c r="BB333" s="93"/>
      <c r="BC333" s="93"/>
      <c r="BD333" s="93"/>
      <c r="BE333" s="93"/>
      <c r="BR333" s="52">
        <v>75000</v>
      </c>
      <c r="BS333" s="52" t="e">
        <f>VLOOKUP(M333,#REF!,2,TRUE)*(BR333/1000000)</f>
        <v>#REF!</v>
      </c>
      <c r="BT333" s="43" t="e">
        <f>VLOOKUP(M333,#REF!,3,TRUE)*(BR333/1000000)</f>
        <v>#REF!</v>
      </c>
    </row>
    <row r="334" spans="1:72" x14ac:dyDescent="0.25">
      <c r="A334" s="9" t="s">
        <v>332</v>
      </c>
      <c r="B334" s="92">
        <v>1989</v>
      </c>
      <c r="C334" s="92" t="s">
        <v>1452</v>
      </c>
      <c r="D334" s="93" t="s">
        <v>1568</v>
      </c>
      <c r="E334" s="93" t="s">
        <v>1292</v>
      </c>
      <c r="F334" s="93" t="s">
        <v>1039</v>
      </c>
      <c r="G334" s="95">
        <v>59044</v>
      </c>
      <c r="H334" s="114"/>
      <c r="I334" s="114"/>
      <c r="J334" s="93" t="s">
        <v>300</v>
      </c>
      <c r="K334" s="97">
        <v>0.09</v>
      </c>
      <c r="L334" s="92" t="s">
        <v>453</v>
      </c>
      <c r="M334" s="93" t="s">
        <v>302</v>
      </c>
      <c r="N334" s="92" t="s">
        <v>443</v>
      </c>
      <c r="O334" s="98">
        <v>8</v>
      </c>
      <c r="P334" s="92"/>
      <c r="Q334" s="102">
        <v>90160</v>
      </c>
      <c r="R334" s="102"/>
      <c r="S334" s="102"/>
      <c r="T334" s="102"/>
      <c r="U334" s="100"/>
      <c r="V334" s="101"/>
      <c r="W334" s="8">
        <v>32782</v>
      </c>
      <c r="Y334" s="8">
        <f t="shared" si="61"/>
        <v>32782</v>
      </c>
      <c r="Z334" s="46">
        <f t="shared" si="62"/>
        <v>37895</v>
      </c>
      <c r="AA334" s="5"/>
      <c r="AB334" s="140"/>
      <c r="AC334" s="93" t="s">
        <v>510</v>
      </c>
      <c r="AD334" s="93" t="s">
        <v>246</v>
      </c>
      <c r="AE334" s="93" t="s">
        <v>16</v>
      </c>
      <c r="AF334" s="93" t="s">
        <v>17</v>
      </c>
      <c r="AG334" s="93" t="s">
        <v>472</v>
      </c>
      <c r="AH334" s="92" t="s">
        <v>18</v>
      </c>
      <c r="AI334" s="47"/>
      <c r="AJ334" s="93" t="s">
        <v>511</v>
      </c>
      <c r="AK334" s="93"/>
      <c r="AL334" s="93"/>
      <c r="AM334" s="93"/>
      <c r="AN334" s="93"/>
      <c r="AO334" s="93"/>
      <c r="AP334" s="93"/>
      <c r="AQ334" s="93"/>
      <c r="AR334" s="93"/>
      <c r="AS334" s="93"/>
      <c r="AT334" s="103"/>
      <c r="AU334" s="92">
        <v>8</v>
      </c>
      <c r="AV334" s="93"/>
      <c r="AW334" s="93"/>
      <c r="AX334" s="93">
        <v>8</v>
      </c>
      <c r="AY334" s="93"/>
      <c r="AZ334" s="93"/>
      <c r="BA334" s="93"/>
      <c r="BB334" s="93"/>
      <c r="BC334" s="93"/>
      <c r="BD334" s="93"/>
      <c r="BE334" s="93"/>
      <c r="BR334" s="52">
        <v>273198</v>
      </c>
      <c r="BS334" s="52" t="e">
        <f>VLOOKUP(M334,#REF!,2,TRUE)*(BR334/1000000)</f>
        <v>#REF!</v>
      </c>
      <c r="BT334" s="43" t="e">
        <f>VLOOKUP(M334,#REF!,3,TRUE)*(BR334/1000000)</f>
        <v>#REF!</v>
      </c>
    </row>
    <row r="335" spans="1:72" x14ac:dyDescent="0.25">
      <c r="A335" s="9" t="s">
        <v>330</v>
      </c>
      <c r="B335" s="92">
        <v>1989</v>
      </c>
      <c r="C335" s="92" t="s">
        <v>1452</v>
      </c>
      <c r="D335" s="93" t="s">
        <v>1567</v>
      </c>
      <c r="E335" s="93" t="s">
        <v>1291</v>
      </c>
      <c r="F335" s="93" t="s">
        <v>1258</v>
      </c>
      <c r="G335" s="95">
        <v>59263</v>
      </c>
      <c r="H335" s="114"/>
      <c r="I335" s="114"/>
      <c r="J335" s="93" t="s">
        <v>902</v>
      </c>
      <c r="K335" s="97">
        <v>0.09</v>
      </c>
      <c r="L335" s="92" t="s">
        <v>453</v>
      </c>
      <c r="M335" s="93" t="s">
        <v>302</v>
      </c>
      <c r="N335" s="92" t="s">
        <v>443</v>
      </c>
      <c r="O335" s="98">
        <v>11</v>
      </c>
      <c r="P335" s="92"/>
      <c r="Q335" s="102">
        <v>139800</v>
      </c>
      <c r="R335" s="102"/>
      <c r="S335" s="102"/>
      <c r="T335" s="102"/>
      <c r="U335" s="100"/>
      <c r="V335" s="101"/>
      <c r="W335" s="8">
        <v>33208</v>
      </c>
      <c r="Y335" s="8">
        <f t="shared" si="61"/>
        <v>33208</v>
      </c>
      <c r="Z335" s="46">
        <f t="shared" si="62"/>
        <v>38322</v>
      </c>
      <c r="AA335" s="5"/>
      <c r="AB335" s="140"/>
      <c r="AC335" s="93" t="s">
        <v>564</v>
      </c>
      <c r="AD335" s="93" t="s">
        <v>565</v>
      </c>
      <c r="AE335" s="93" t="s">
        <v>387</v>
      </c>
      <c r="AF335" s="93" t="s">
        <v>385</v>
      </c>
      <c r="AG335" s="93" t="s">
        <v>472</v>
      </c>
      <c r="AH335" s="92" t="s">
        <v>386</v>
      </c>
      <c r="AI335" s="47"/>
      <c r="AJ335" s="93" t="s">
        <v>438</v>
      </c>
      <c r="AK335" s="93"/>
      <c r="AL335" s="93"/>
      <c r="AM335" s="93"/>
      <c r="AN335" s="93"/>
      <c r="AO335" s="93"/>
      <c r="AP335" s="93"/>
      <c r="AQ335" s="93"/>
      <c r="AR335" s="93"/>
      <c r="AS335" s="93"/>
      <c r="AT335" s="103"/>
      <c r="AU335" s="92">
        <v>11</v>
      </c>
      <c r="AV335" s="93"/>
      <c r="AW335" s="93"/>
      <c r="AX335" s="93">
        <v>6</v>
      </c>
      <c r="AY335" s="93">
        <v>5</v>
      </c>
      <c r="AZ335" s="93"/>
      <c r="BA335" s="93"/>
      <c r="BB335" s="93"/>
      <c r="BC335" s="93"/>
      <c r="BD335" s="93"/>
      <c r="BE335" s="93"/>
      <c r="BR335" s="52">
        <v>612000</v>
      </c>
      <c r="BS335" s="52" t="e">
        <f>VLOOKUP(M335,#REF!,2,TRUE)*(BR335/1000000)</f>
        <v>#REF!</v>
      </c>
      <c r="BT335" s="43" t="e">
        <f>VLOOKUP(M335,#REF!,3,TRUE)*(BR335/1000000)</f>
        <v>#REF!</v>
      </c>
    </row>
    <row r="336" spans="1:72" x14ac:dyDescent="0.25">
      <c r="A336" s="9" t="s">
        <v>328</v>
      </c>
      <c r="B336" s="92">
        <v>1989</v>
      </c>
      <c r="C336" s="92" t="s">
        <v>1452</v>
      </c>
      <c r="D336" s="93" t="s">
        <v>1566</v>
      </c>
      <c r="E336" s="93" t="s">
        <v>1290</v>
      </c>
      <c r="F336" s="93" t="s">
        <v>65</v>
      </c>
      <c r="G336" s="95">
        <v>59401</v>
      </c>
      <c r="H336" s="114"/>
      <c r="I336" s="114"/>
      <c r="J336" s="93" t="s">
        <v>308</v>
      </c>
      <c r="K336" s="97">
        <v>0.09</v>
      </c>
      <c r="L336" s="92" t="s">
        <v>453</v>
      </c>
      <c r="M336" s="93" t="s">
        <v>307</v>
      </c>
      <c r="N336" s="92" t="s">
        <v>45</v>
      </c>
      <c r="O336" s="98">
        <v>39</v>
      </c>
      <c r="P336" s="92"/>
      <c r="Q336" s="102">
        <v>2372090</v>
      </c>
      <c r="R336" s="102"/>
      <c r="S336" s="102"/>
      <c r="T336" s="102"/>
      <c r="U336" s="100"/>
      <c r="V336" s="101"/>
      <c r="W336" s="8">
        <v>33573</v>
      </c>
      <c r="Y336" s="8">
        <f t="shared" si="61"/>
        <v>33573</v>
      </c>
      <c r="Z336" s="46">
        <f t="shared" si="62"/>
        <v>38687</v>
      </c>
      <c r="AA336" s="5"/>
      <c r="AB336" s="140"/>
      <c r="AC336" s="93" t="s">
        <v>245</v>
      </c>
      <c r="AD336" s="93" t="s">
        <v>38</v>
      </c>
      <c r="AE336" s="93" t="s">
        <v>39</v>
      </c>
      <c r="AF336" s="93" t="s">
        <v>40</v>
      </c>
      <c r="AG336" s="93" t="s">
        <v>439</v>
      </c>
      <c r="AH336" s="92">
        <v>44022</v>
      </c>
      <c r="AI336" s="47"/>
      <c r="AJ336" s="93" t="s">
        <v>329</v>
      </c>
      <c r="AK336" s="93"/>
      <c r="AL336" s="93"/>
      <c r="AM336" s="93"/>
      <c r="AN336" s="93"/>
      <c r="AO336" s="93"/>
      <c r="AP336" s="93"/>
      <c r="AQ336" s="93"/>
      <c r="AR336" s="93"/>
      <c r="AS336" s="93"/>
      <c r="AT336" s="103"/>
      <c r="AU336" s="92">
        <v>38</v>
      </c>
      <c r="AV336" s="93"/>
      <c r="AW336" s="93"/>
      <c r="AX336" s="93"/>
      <c r="AY336" s="93"/>
      <c r="AZ336" s="93">
        <v>38</v>
      </c>
      <c r="BA336" s="93"/>
      <c r="BB336" s="93"/>
      <c r="BC336" s="93"/>
      <c r="BD336" s="93"/>
      <c r="BE336" s="93"/>
      <c r="BR336" s="52">
        <v>3490015</v>
      </c>
      <c r="BS336" s="52" t="e">
        <f>VLOOKUP(M336,#REF!,2,TRUE)*(BR336/1000000)</f>
        <v>#REF!</v>
      </c>
      <c r="BT336" s="43" t="e">
        <f>VLOOKUP(M336,#REF!,3,TRUE)*(BR336/1000000)</f>
        <v>#REF!</v>
      </c>
    </row>
    <row r="337" spans="1:72" x14ac:dyDescent="0.25">
      <c r="A337" s="9" t="s">
        <v>326</v>
      </c>
      <c r="B337" s="92">
        <v>1988</v>
      </c>
      <c r="C337" s="92" t="s">
        <v>1452</v>
      </c>
      <c r="D337" s="93" t="s">
        <v>1565</v>
      </c>
      <c r="E337" s="93" t="s">
        <v>1289</v>
      </c>
      <c r="F337" s="93" t="s">
        <v>1042</v>
      </c>
      <c r="G337" s="95">
        <v>59859</v>
      </c>
      <c r="H337" s="114"/>
      <c r="I337" s="114"/>
      <c r="J337" s="93" t="s">
        <v>327</v>
      </c>
      <c r="K337" s="97">
        <v>0.09</v>
      </c>
      <c r="L337" s="92" t="s">
        <v>453</v>
      </c>
      <c r="M337" s="93" t="s">
        <v>1169</v>
      </c>
      <c r="N337" s="92" t="s">
        <v>45</v>
      </c>
      <c r="O337" s="98">
        <v>9</v>
      </c>
      <c r="P337" s="92"/>
      <c r="Q337" s="102">
        <v>116000</v>
      </c>
      <c r="R337" s="102"/>
      <c r="S337" s="102"/>
      <c r="T337" s="102"/>
      <c r="U337" s="100"/>
      <c r="V337" s="101"/>
      <c r="W337" s="8">
        <v>32448</v>
      </c>
      <c r="Y337" s="8">
        <f t="shared" si="61"/>
        <v>32448</v>
      </c>
      <c r="Z337" s="46">
        <f t="shared" si="62"/>
        <v>37561</v>
      </c>
      <c r="AA337" s="5"/>
      <c r="AB337" s="140"/>
      <c r="AC337" s="93" t="s">
        <v>243</v>
      </c>
      <c r="AD337" s="93" t="s">
        <v>244</v>
      </c>
      <c r="AE337" s="93" t="s">
        <v>158</v>
      </c>
      <c r="AF337" s="93" t="s">
        <v>15</v>
      </c>
      <c r="AG337" s="93" t="s">
        <v>472</v>
      </c>
      <c r="AH337" s="92">
        <v>59601</v>
      </c>
      <c r="AI337" s="47"/>
      <c r="AJ337" s="93" t="s">
        <v>489</v>
      </c>
      <c r="AK337" s="93"/>
      <c r="AL337" s="93"/>
      <c r="AM337" s="93"/>
      <c r="AN337" s="93"/>
      <c r="AO337" s="93"/>
      <c r="AP337" s="93"/>
      <c r="AQ337" s="93"/>
      <c r="AR337" s="93"/>
      <c r="AS337" s="93"/>
      <c r="AT337" s="103"/>
      <c r="AU337" s="92">
        <v>9</v>
      </c>
      <c r="AV337" s="93"/>
      <c r="AW337" s="93"/>
      <c r="AX337" s="93">
        <v>1</v>
      </c>
      <c r="AY337" s="93">
        <v>8</v>
      </c>
      <c r="AZ337" s="93"/>
      <c r="BA337" s="93"/>
      <c r="BB337" s="93"/>
      <c r="BC337" s="93"/>
      <c r="BD337" s="93"/>
      <c r="BE337" s="93"/>
      <c r="BR337" s="52">
        <v>310923</v>
      </c>
      <c r="BS337" s="52" t="e">
        <f>VLOOKUP(M337,#REF!,2,TRUE)*(BR337/1000000)</f>
        <v>#REF!</v>
      </c>
      <c r="BT337" s="43" t="e">
        <f>VLOOKUP(M337,#REF!,3,TRUE)*(BR337/1000000)</f>
        <v>#REF!</v>
      </c>
    </row>
    <row r="338" spans="1:72" x14ac:dyDescent="0.25">
      <c r="A338" s="9" t="s">
        <v>323</v>
      </c>
      <c r="B338" s="92">
        <v>1988</v>
      </c>
      <c r="C338" s="92" t="s">
        <v>1452</v>
      </c>
      <c r="D338" s="93" t="s">
        <v>1564</v>
      </c>
      <c r="E338" s="93" t="s">
        <v>1288</v>
      </c>
      <c r="F338" s="93" t="s">
        <v>1257</v>
      </c>
      <c r="G338" s="95">
        <v>59422</v>
      </c>
      <c r="H338" s="114"/>
      <c r="I338" s="114"/>
      <c r="J338" s="93" t="s">
        <v>901</v>
      </c>
      <c r="K338" s="97">
        <v>0.09</v>
      </c>
      <c r="L338" s="92" t="s">
        <v>453</v>
      </c>
      <c r="M338" s="93" t="s">
        <v>1169</v>
      </c>
      <c r="N338" s="92" t="s">
        <v>45</v>
      </c>
      <c r="O338" s="98">
        <v>10</v>
      </c>
      <c r="P338" s="92"/>
      <c r="Q338" s="102">
        <v>139380</v>
      </c>
      <c r="R338" s="102"/>
      <c r="S338" s="102"/>
      <c r="T338" s="102"/>
      <c r="U338" s="100"/>
      <c r="V338" s="101"/>
      <c r="W338" s="8">
        <v>32417</v>
      </c>
      <c r="Y338" s="8">
        <f t="shared" si="61"/>
        <v>32417</v>
      </c>
      <c r="Z338" s="46">
        <f t="shared" si="62"/>
        <v>37530</v>
      </c>
      <c r="AA338" s="5"/>
      <c r="AB338" s="140"/>
      <c r="AC338" s="93" t="s">
        <v>241</v>
      </c>
      <c r="AD338" s="93" t="s">
        <v>76</v>
      </c>
      <c r="AE338" s="93" t="s">
        <v>14</v>
      </c>
      <c r="AF338" s="93" t="s">
        <v>138</v>
      </c>
      <c r="AG338" s="93" t="s">
        <v>472</v>
      </c>
      <c r="AH338" s="92">
        <v>59601</v>
      </c>
      <c r="AI338" s="47"/>
      <c r="AJ338" s="93" t="s">
        <v>570</v>
      </c>
      <c r="AK338" s="93"/>
      <c r="AL338" s="93"/>
      <c r="AM338" s="93"/>
      <c r="AN338" s="93"/>
      <c r="AO338" s="93"/>
      <c r="AP338" s="93"/>
      <c r="AQ338" s="93"/>
      <c r="AR338" s="93"/>
      <c r="AS338" s="93"/>
      <c r="AT338" s="103"/>
      <c r="AU338" s="92">
        <v>10</v>
      </c>
      <c r="AV338" s="93"/>
      <c r="AW338" s="93"/>
      <c r="AX338" s="93">
        <v>4</v>
      </c>
      <c r="AY338" s="93">
        <v>6</v>
      </c>
      <c r="AZ338" s="93"/>
      <c r="BA338" s="93"/>
      <c r="BB338" s="93"/>
      <c r="BC338" s="93"/>
      <c r="BD338" s="93"/>
      <c r="BE338" s="93"/>
      <c r="BR338" s="52">
        <v>355562</v>
      </c>
      <c r="BS338" s="52" t="e">
        <f>VLOOKUP(M338,#REF!,2,TRUE)*(BR338/1000000)</f>
        <v>#REF!</v>
      </c>
      <c r="BT338" s="43" t="e">
        <f>VLOOKUP(M338,#REF!,3,TRUE)*(BR338/1000000)</f>
        <v>#REF!</v>
      </c>
    </row>
    <row r="339" spans="1:72" x14ac:dyDescent="0.25">
      <c r="A339" s="9" t="s">
        <v>317</v>
      </c>
      <c r="B339" s="92">
        <v>1988</v>
      </c>
      <c r="C339" s="92" t="s">
        <v>1452</v>
      </c>
      <c r="D339" s="93" t="s">
        <v>1563</v>
      </c>
      <c r="E339" s="93" t="s">
        <v>1287</v>
      </c>
      <c r="F339" s="93" t="s">
        <v>920</v>
      </c>
      <c r="G339" s="95">
        <v>59860</v>
      </c>
      <c r="H339" s="114"/>
      <c r="I339" s="114"/>
      <c r="J339" s="93" t="s">
        <v>318</v>
      </c>
      <c r="K339" s="97">
        <v>0.09</v>
      </c>
      <c r="L339" s="92" t="s">
        <v>453</v>
      </c>
      <c r="M339" s="93" t="s">
        <v>1169</v>
      </c>
      <c r="N339" s="92" t="s">
        <v>45</v>
      </c>
      <c r="O339" s="98">
        <v>54</v>
      </c>
      <c r="P339" s="92"/>
      <c r="Q339" s="102">
        <v>856160</v>
      </c>
      <c r="R339" s="102"/>
      <c r="S339" s="102"/>
      <c r="T339" s="102"/>
      <c r="U339" s="100"/>
      <c r="V339" s="101"/>
      <c r="W339" s="8">
        <v>32417</v>
      </c>
      <c r="Y339" s="8">
        <f t="shared" si="61"/>
        <v>32417</v>
      </c>
      <c r="Z339" s="46">
        <f t="shared" si="62"/>
        <v>37530</v>
      </c>
      <c r="AA339" s="5"/>
      <c r="AB339" s="140"/>
      <c r="AC339" s="93" t="s">
        <v>584</v>
      </c>
      <c r="AD339" s="93" t="s">
        <v>21</v>
      </c>
      <c r="AE339" s="93" t="s">
        <v>484</v>
      </c>
      <c r="AF339" s="93" t="s">
        <v>23</v>
      </c>
      <c r="AG339" s="93" t="s">
        <v>473</v>
      </c>
      <c r="AH339" s="92">
        <v>80925</v>
      </c>
      <c r="AI339" s="47"/>
      <c r="AJ339" s="93" t="s">
        <v>319</v>
      </c>
      <c r="AK339" s="93"/>
      <c r="AL339" s="93"/>
      <c r="AM339" s="93"/>
      <c r="AN339" s="93"/>
      <c r="AO339" s="93"/>
      <c r="AP339" s="93"/>
      <c r="AQ339" s="93"/>
      <c r="AR339" s="93"/>
      <c r="AS339" s="93"/>
      <c r="AT339" s="103"/>
      <c r="AU339" s="92">
        <v>54</v>
      </c>
      <c r="AV339" s="93"/>
      <c r="AW339" s="93"/>
      <c r="AX339" s="93">
        <v>18</v>
      </c>
      <c r="AY339" s="93">
        <v>36</v>
      </c>
      <c r="AZ339" s="93"/>
      <c r="BA339" s="93"/>
      <c r="BB339" s="93"/>
      <c r="BC339" s="93"/>
      <c r="BD339" s="93"/>
      <c r="BE339" s="93"/>
      <c r="BR339" s="52">
        <v>2173000</v>
      </c>
      <c r="BS339" s="52" t="e">
        <f>VLOOKUP(M339,#REF!,2,TRUE)*(BR339/1000000)</f>
        <v>#REF!</v>
      </c>
      <c r="BT339" s="43" t="e">
        <f>VLOOKUP(M339,#REF!,3,TRUE)*(BR339/1000000)</f>
        <v>#REF!</v>
      </c>
    </row>
    <row r="340" spans="1:72" x14ac:dyDescent="0.25">
      <c r="A340" s="9" t="s">
        <v>313</v>
      </c>
      <c r="B340" s="92">
        <v>1988</v>
      </c>
      <c r="C340" s="92" t="s">
        <v>1452</v>
      </c>
      <c r="D340" s="93" t="s">
        <v>1562</v>
      </c>
      <c r="E340" s="93" t="s">
        <v>1286</v>
      </c>
      <c r="F340" s="93" t="s">
        <v>195</v>
      </c>
      <c r="G340" s="95">
        <v>59715</v>
      </c>
      <c r="H340" s="114"/>
      <c r="I340" s="114"/>
      <c r="J340" s="93" t="s">
        <v>314</v>
      </c>
      <c r="K340" s="97">
        <v>0.09</v>
      </c>
      <c r="L340" s="92" t="s">
        <v>453</v>
      </c>
      <c r="M340" s="93" t="s">
        <v>307</v>
      </c>
      <c r="N340" s="92" t="s">
        <v>45</v>
      </c>
      <c r="O340" s="98">
        <v>28</v>
      </c>
      <c r="P340" s="92"/>
      <c r="Q340" s="102">
        <v>943830</v>
      </c>
      <c r="R340" s="102"/>
      <c r="S340" s="102"/>
      <c r="T340" s="102"/>
      <c r="U340" s="100"/>
      <c r="V340" s="101"/>
      <c r="W340" s="8">
        <v>32295</v>
      </c>
      <c r="Y340" s="8">
        <f t="shared" si="61"/>
        <v>32295</v>
      </c>
      <c r="Z340" s="46">
        <f t="shared" si="62"/>
        <v>37408</v>
      </c>
      <c r="AA340" s="5"/>
      <c r="AB340" s="140"/>
      <c r="AC340" s="93" t="s">
        <v>239</v>
      </c>
      <c r="AD340" s="93" t="s">
        <v>240</v>
      </c>
      <c r="AE340" s="93" t="s">
        <v>483</v>
      </c>
      <c r="AF340" s="93" t="s">
        <v>17</v>
      </c>
      <c r="AG340" s="93" t="s">
        <v>472</v>
      </c>
      <c r="AH340" s="92">
        <v>59104</v>
      </c>
      <c r="AI340" s="47"/>
      <c r="AJ340" s="93" t="s">
        <v>315</v>
      </c>
      <c r="AK340" s="93"/>
      <c r="AL340" s="93"/>
      <c r="AM340" s="93"/>
      <c r="AN340" s="93"/>
      <c r="AO340" s="93"/>
      <c r="AP340" s="93"/>
      <c r="AQ340" s="93"/>
      <c r="AR340" s="93"/>
      <c r="AS340" s="93"/>
      <c r="AT340" s="103"/>
      <c r="AU340" s="92">
        <v>28</v>
      </c>
      <c r="AV340" s="93"/>
      <c r="AW340" s="93"/>
      <c r="AX340" s="93">
        <v>1</v>
      </c>
      <c r="AY340" s="93">
        <v>21</v>
      </c>
      <c r="AZ340" s="93">
        <v>6</v>
      </c>
      <c r="BA340" s="93"/>
      <c r="BB340" s="93"/>
      <c r="BC340" s="93"/>
      <c r="BD340" s="93"/>
      <c r="BE340" s="93"/>
      <c r="BR340" s="52">
        <v>1201288.8400000001</v>
      </c>
      <c r="BS340" s="52" t="e">
        <f>VLOOKUP(M340,#REF!,2,TRUE)*(BR340/1000000)</f>
        <v>#REF!</v>
      </c>
      <c r="BT340" s="43" t="e">
        <f>VLOOKUP(M340,#REF!,3,TRUE)*(BR340/1000000)</f>
        <v>#REF!</v>
      </c>
    </row>
    <row r="341" spans="1:72" s="71" customFormat="1" x14ac:dyDescent="0.25">
      <c r="A341" s="9" t="s">
        <v>311</v>
      </c>
      <c r="B341" s="92">
        <v>1988</v>
      </c>
      <c r="C341" s="92" t="s">
        <v>1452</v>
      </c>
      <c r="D341" s="93" t="s">
        <v>1560</v>
      </c>
      <c r="E341" s="93" t="s">
        <v>1285</v>
      </c>
      <c r="F341" s="93" t="s">
        <v>760</v>
      </c>
      <c r="G341" s="95">
        <v>59501</v>
      </c>
      <c r="H341" s="114"/>
      <c r="I341" s="114"/>
      <c r="J341" s="93" t="s">
        <v>303</v>
      </c>
      <c r="K341" s="97">
        <v>0.09</v>
      </c>
      <c r="L341" s="92" t="s">
        <v>453</v>
      </c>
      <c r="M341" s="93" t="s">
        <v>302</v>
      </c>
      <c r="N341" s="92" t="s">
        <v>45</v>
      </c>
      <c r="O341" s="98">
        <v>1</v>
      </c>
      <c r="P341" s="92"/>
      <c r="Q341" s="102">
        <v>9130</v>
      </c>
      <c r="R341" s="102"/>
      <c r="S341" s="102"/>
      <c r="T341" s="102"/>
      <c r="U341" s="100"/>
      <c r="V341" s="101"/>
      <c r="W341" s="8">
        <v>32843</v>
      </c>
      <c r="X341" s="8"/>
      <c r="Y341" s="8">
        <f t="shared" si="61"/>
        <v>32843</v>
      </c>
      <c r="Z341" s="46">
        <f t="shared" si="62"/>
        <v>37956</v>
      </c>
      <c r="AA341" s="5"/>
      <c r="AB341" s="140"/>
      <c r="AC341" s="93" t="s">
        <v>238</v>
      </c>
      <c r="AD341" s="93"/>
      <c r="AE341" s="93" t="s">
        <v>481</v>
      </c>
      <c r="AF341" s="93" t="s">
        <v>34</v>
      </c>
      <c r="AG341" s="93" t="s">
        <v>472</v>
      </c>
      <c r="AH341" s="92">
        <v>59501</v>
      </c>
      <c r="AI341" s="47"/>
      <c r="AJ341" s="93" t="s">
        <v>305</v>
      </c>
      <c r="AK341" s="93"/>
      <c r="AL341" s="93"/>
      <c r="AM341" s="93"/>
      <c r="AN341" s="93"/>
      <c r="AO341" s="93"/>
      <c r="AP341" s="93"/>
      <c r="AQ341" s="93"/>
      <c r="AR341" s="93"/>
      <c r="AS341" s="93"/>
      <c r="AT341" s="103"/>
      <c r="AU341" s="92">
        <v>1</v>
      </c>
      <c r="AV341" s="93"/>
      <c r="AW341" s="93"/>
      <c r="AX341" s="93">
        <v>1</v>
      </c>
      <c r="AY341" s="93"/>
      <c r="AZ341" s="93"/>
      <c r="BA341" s="93"/>
      <c r="BB341" s="93"/>
      <c r="BC341" s="93"/>
      <c r="BD341" s="93"/>
      <c r="BE341" s="93"/>
      <c r="BF341" s="11"/>
      <c r="BG341" s="11"/>
      <c r="BH341" s="11"/>
      <c r="BI341" s="11"/>
      <c r="BJ341" s="11"/>
      <c r="BK341" s="11"/>
      <c r="BL341" s="11"/>
      <c r="BM341" s="11"/>
      <c r="BN341" s="11"/>
      <c r="BR341" s="52">
        <v>12745</v>
      </c>
      <c r="BS341" s="52" t="e">
        <f>VLOOKUP(M341,#REF!,2,TRUE)*(BR341/1000000)</f>
        <v>#REF!</v>
      </c>
      <c r="BT341" s="43" t="e">
        <f>VLOOKUP(M341,#REF!,3,TRUE)*(BR341/1000000)</f>
        <v>#REF!</v>
      </c>
    </row>
    <row r="342" spans="1:72" s="71" customFormat="1" x14ac:dyDescent="0.25">
      <c r="A342" s="9" t="s">
        <v>299</v>
      </c>
      <c r="B342" s="92">
        <v>1987</v>
      </c>
      <c r="C342" s="92" t="s">
        <v>1452</v>
      </c>
      <c r="D342" s="93" t="s">
        <v>1561</v>
      </c>
      <c r="E342" s="93" t="s">
        <v>1284</v>
      </c>
      <c r="F342" s="93" t="s">
        <v>65</v>
      </c>
      <c r="G342" s="95">
        <v>59403</v>
      </c>
      <c r="H342" s="114"/>
      <c r="I342" s="114"/>
      <c r="J342" s="93" t="s">
        <v>308</v>
      </c>
      <c r="K342" s="97">
        <v>0.09</v>
      </c>
      <c r="L342" s="92" t="s">
        <v>453</v>
      </c>
      <c r="M342" s="93" t="s">
        <v>307</v>
      </c>
      <c r="N342" s="92" t="s">
        <v>45</v>
      </c>
      <c r="O342" s="98">
        <v>60</v>
      </c>
      <c r="P342" s="92"/>
      <c r="Q342" s="102">
        <v>2318260</v>
      </c>
      <c r="R342" s="102"/>
      <c r="S342" s="102"/>
      <c r="T342" s="102"/>
      <c r="U342" s="100"/>
      <c r="V342" s="101"/>
      <c r="W342" s="8">
        <v>32112</v>
      </c>
      <c r="X342" s="8"/>
      <c r="Y342" s="8">
        <f t="shared" si="61"/>
        <v>32112</v>
      </c>
      <c r="Z342" s="46">
        <f t="shared" si="62"/>
        <v>37226</v>
      </c>
      <c r="AA342" s="5"/>
      <c r="AB342" s="140"/>
      <c r="AC342" s="93" t="s">
        <v>237</v>
      </c>
      <c r="AD342" s="93" t="s">
        <v>558</v>
      </c>
      <c r="AE342" s="93" t="s">
        <v>559</v>
      </c>
      <c r="AF342" s="93" t="s">
        <v>560</v>
      </c>
      <c r="AG342" s="93" t="s">
        <v>561</v>
      </c>
      <c r="AH342" s="92">
        <v>20016</v>
      </c>
      <c r="AI342" s="47"/>
      <c r="AJ342" s="93" t="s">
        <v>562</v>
      </c>
      <c r="AK342" s="93"/>
      <c r="AL342" s="93"/>
      <c r="AM342" s="93"/>
      <c r="AN342" s="93"/>
      <c r="AO342" s="93"/>
      <c r="AP342" s="93"/>
      <c r="AQ342" s="93"/>
      <c r="AR342" s="93"/>
      <c r="AS342" s="93"/>
      <c r="AT342" s="103"/>
      <c r="AU342" s="92">
        <v>60</v>
      </c>
      <c r="AV342" s="93"/>
      <c r="AW342" s="93"/>
      <c r="AX342" s="93">
        <v>30</v>
      </c>
      <c r="AY342" s="93">
        <v>30</v>
      </c>
      <c r="AZ342" s="93"/>
      <c r="BA342" s="93"/>
      <c r="BB342" s="93"/>
      <c r="BC342" s="93"/>
      <c r="BD342" s="93"/>
      <c r="BE342" s="93"/>
      <c r="BF342" s="11"/>
      <c r="BG342" s="11"/>
      <c r="BH342" s="11"/>
      <c r="BI342" s="11"/>
      <c r="BJ342" s="11"/>
      <c r="BK342" s="11"/>
      <c r="BL342" s="11"/>
      <c r="BM342" s="11"/>
      <c r="BN342" s="11"/>
      <c r="BR342" s="52">
        <v>3168204</v>
      </c>
      <c r="BS342" s="52" t="e">
        <f>VLOOKUP(M342,#REF!,2,TRUE)*(BR342/1000000)</f>
        <v>#REF!</v>
      </c>
      <c r="BT342" s="43" t="e">
        <f>VLOOKUP(M342,#REF!,3,TRUE)*(BR342/1000000)</f>
        <v>#REF!</v>
      </c>
    </row>
    <row r="343" spans="1:72" ht="15.75" customHeight="1" x14ac:dyDescent="0.25">
      <c r="A343" s="9" t="s">
        <v>299</v>
      </c>
      <c r="B343" s="92">
        <v>1987</v>
      </c>
      <c r="C343" s="92" t="s">
        <v>1452</v>
      </c>
      <c r="D343" s="93" t="s">
        <v>1560</v>
      </c>
      <c r="E343" s="93" t="s">
        <v>1283</v>
      </c>
      <c r="F343" s="93" t="s">
        <v>760</v>
      </c>
      <c r="G343" s="95">
        <v>59501</v>
      </c>
      <c r="H343" s="114"/>
      <c r="I343" s="114"/>
      <c r="J343" s="93" t="s">
        <v>303</v>
      </c>
      <c r="K343" s="97">
        <v>0.09</v>
      </c>
      <c r="L343" s="92" t="s">
        <v>453</v>
      </c>
      <c r="M343" s="93" t="s">
        <v>307</v>
      </c>
      <c r="N343" s="92" t="s">
        <v>45</v>
      </c>
      <c r="O343" s="98">
        <v>3</v>
      </c>
      <c r="P343" s="92"/>
      <c r="Q343" s="102">
        <v>29580</v>
      </c>
      <c r="R343" s="102"/>
      <c r="S343" s="102"/>
      <c r="T343" s="102"/>
      <c r="U343" s="100"/>
      <c r="V343" s="101"/>
      <c r="W343" s="8">
        <v>32112</v>
      </c>
      <c r="Y343" s="8">
        <f t="shared" si="61"/>
        <v>32112</v>
      </c>
      <c r="Z343" s="46">
        <f t="shared" si="62"/>
        <v>37226</v>
      </c>
      <c r="AA343" s="5"/>
      <c r="AB343" s="140"/>
      <c r="AC343" s="93" t="s">
        <v>236</v>
      </c>
      <c r="AD343" s="93"/>
      <c r="AE343" s="93" t="s">
        <v>481</v>
      </c>
      <c r="AF343" s="93" t="s">
        <v>34</v>
      </c>
      <c r="AG343" s="93" t="s">
        <v>472</v>
      </c>
      <c r="AH343" s="92">
        <v>59501</v>
      </c>
      <c r="AI343" s="47"/>
      <c r="AJ343" s="93" t="s">
        <v>306</v>
      </c>
      <c r="AK343" s="93"/>
      <c r="AL343" s="93"/>
      <c r="AM343" s="93"/>
      <c r="AN343" s="93"/>
      <c r="AO343" s="93"/>
      <c r="AP343" s="93"/>
      <c r="AQ343" s="93"/>
      <c r="AR343" s="93"/>
      <c r="AS343" s="93"/>
      <c r="AT343" s="103"/>
      <c r="AU343" s="92">
        <v>3</v>
      </c>
      <c r="AV343" s="93"/>
      <c r="AW343" s="93"/>
      <c r="AX343" s="93">
        <v>1</v>
      </c>
      <c r="AY343" s="93">
        <v>1</v>
      </c>
      <c r="AZ343" s="93"/>
      <c r="BA343" s="93">
        <v>1</v>
      </c>
      <c r="BB343" s="93"/>
      <c r="BC343" s="93"/>
      <c r="BD343" s="93"/>
      <c r="BE343" s="93"/>
      <c r="BR343" s="52">
        <v>77000</v>
      </c>
      <c r="BS343" s="52" t="e">
        <f>VLOOKUP(M343,#REF!,2,TRUE)*(BR343/1000000)</f>
        <v>#REF!</v>
      </c>
      <c r="BT343" s="43" t="e">
        <f>VLOOKUP(M343,#REF!,3,TRUE)*(BR343/1000000)</f>
        <v>#REF!</v>
      </c>
    </row>
    <row r="344" spans="1:72" ht="15.75" customHeight="1" x14ac:dyDescent="0.25">
      <c r="A344" s="9" t="s">
        <v>299</v>
      </c>
      <c r="B344" s="92">
        <v>1987</v>
      </c>
      <c r="C344" s="92" t="s">
        <v>1452</v>
      </c>
      <c r="D344" s="93" t="s">
        <v>1559</v>
      </c>
      <c r="E344" s="93" t="s">
        <v>1282</v>
      </c>
      <c r="F344" s="93" t="s">
        <v>760</v>
      </c>
      <c r="G344" s="95">
        <v>59501</v>
      </c>
      <c r="H344" s="114"/>
      <c r="I344" s="114"/>
      <c r="J344" s="93" t="s">
        <v>303</v>
      </c>
      <c r="K344" s="97">
        <v>0.09</v>
      </c>
      <c r="L344" s="92" t="s">
        <v>453</v>
      </c>
      <c r="M344" s="93" t="s">
        <v>302</v>
      </c>
      <c r="N344" s="92" t="s">
        <v>45</v>
      </c>
      <c r="O344" s="98">
        <v>1</v>
      </c>
      <c r="P344" s="92"/>
      <c r="Q344" s="102">
        <v>3600</v>
      </c>
      <c r="R344" s="102"/>
      <c r="S344" s="102"/>
      <c r="T344" s="102"/>
      <c r="U344" s="100"/>
      <c r="V344" s="101"/>
      <c r="W344" s="8">
        <v>32112</v>
      </c>
      <c r="Y344" s="8">
        <f t="shared" si="61"/>
        <v>32112</v>
      </c>
      <c r="Z344" s="46">
        <f t="shared" si="62"/>
        <v>37226</v>
      </c>
      <c r="AA344" s="5"/>
      <c r="AB344" s="140"/>
      <c r="AC344" s="93" t="s">
        <v>236</v>
      </c>
      <c r="AD344" s="93"/>
      <c r="AE344" s="93" t="s">
        <v>481</v>
      </c>
      <c r="AF344" s="93" t="s">
        <v>34</v>
      </c>
      <c r="AG344" s="93" t="s">
        <v>472</v>
      </c>
      <c r="AH344" s="92">
        <v>59501</v>
      </c>
      <c r="AI344" s="47"/>
      <c r="AJ344" s="93" t="s">
        <v>306</v>
      </c>
      <c r="AK344" s="93"/>
      <c r="AL344" s="93"/>
      <c r="AM344" s="93"/>
      <c r="AN344" s="93"/>
      <c r="AO344" s="93"/>
      <c r="AP344" s="93"/>
      <c r="AQ344" s="93"/>
      <c r="AR344" s="93"/>
      <c r="AS344" s="93"/>
      <c r="AT344" s="103"/>
      <c r="AU344" s="92">
        <v>1</v>
      </c>
      <c r="AV344" s="93"/>
      <c r="AW344" s="93"/>
      <c r="AX344" s="93"/>
      <c r="AY344" s="93">
        <v>1</v>
      </c>
      <c r="AZ344" s="93"/>
      <c r="BA344" s="93"/>
      <c r="BB344" s="93"/>
      <c r="BC344" s="93"/>
      <c r="BD344" s="93"/>
      <c r="BE344" s="93"/>
      <c r="BR344" s="52">
        <v>9000</v>
      </c>
      <c r="BS344" s="52" t="e">
        <f>VLOOKUP(M344,#REF!,2,TRUE)*(BR344/1000000)</f>
        <v>#REF!</v>
      </c>
      <c r="BT344" s="43" t="e">
        <f>VLOOKUP(M344,#REF!,3,TRUE)*(BR344/1000000)</f>
        <v>#REF!</v>
      </c>
    </row>
    <row r="345" spans="1:72" ht="15.75" customHeight="1" x14ac:dyDescent="0.25">
      <c r="A345" s="9" t="s">
        <v>299</v>
      </c>
      <c r="B345" s="92">
        <v>1987</v>
      </c>
      <c r="C345" s="92" t="s">
        <v>1452</v>
      </c>
      <c r="D345" s="93" t="s">
        <v>1558</v>
      </c>
      <c r="E345" s="93" t="s">
        <v>1281</v>
      </c>
      <c r="F345" s="93" t="s">
        <v>760</v>
      </c>
      <c r="G345" s="95">
        <v>59501</v>
      </c>
      <c r="H345" s="114"/>
      <c r="I345" s="114"/>
      <c r="J345" s="93" t="s">
        <v>303</v>
      </c>
      <c r="K345" s="97">
        <v>0.09</v>
      </c>
      <c r="L345" s="92" t="s">
        <v>453</v>
      </c>
      <c r="M345" s="93" t="s">
        <v>302</v>
      </c>
      <c r="N345" s="92" t="s">
        <v>45</v>
      </c>
      <c r="O345" s="98">
        <v>2</v>
      </c>
      <c r="P345" s="92"/>
      <c r="Q345" s="102">
        <v>12600</v>
      </c>
      <c r="R345" s="102"/>
      <c r="S345" s="102"/>
      <c r="T345" s="102"/>
      <c r="U345" s="100"/>
      <c r="V345" s="101"/>
      <c r="W345" s="8">
        <v>32112</v>
      </c>
      <c r="Y345" s="8">
        <f t="shared" si="61"/>
        <v>32112</v>
      </c>
      <c r="Z345" s="46">
        <f t="shared" si="62"/>
        <v>37226</v>
      </c>
      <c r="AA345" s="5"/>
      <c r="AB345" s="140"/>
      <c r="AC345" s="93" t="s">
        <v>236</v>
      </c>
      <c r="AD345" s="93"/>
      <c r="AE345" s="93" t="s">
        <v>481</v>
      </c>
      <c r="AF345" s="93" t="s">
        <v>34</v>
      </c>
      <c r="AG345" s="93" t="s">
        <v>472</v>
      </c>
      <c r="AH345" s="92">
        <v>59501</v>
      </c>
      <c r="AI345" s="47"/>
      <c r="AJ345" s="93" t="s">
        <v>305</v>
      </c>
      <c r="AK345" s="93"/>
      <c r="AL345" s="93"/>
      <c r="AM345" s="93"/>
      <c r="AN345" s="93"/>
      <c r="AO345" s="93"/>
      <c r="AP345" s="93"/>
      <c r="AQ345" s="93"/>
      <c r="AR345" s="93"/>
      <c r="AS345" s="93"/>
      <c r="AT345" s="103"/>
      <c r="AU345" s="92">
        <v>2</v>
      </c>
      <c r="AV345" s="93"/>
      <c r="AW345" s="93"/>
      <c r="AX345" s="93"/>
      <c r="AY345" s="93">
        <v>1</v>
      </c>
      <c r="AZ345" s="93">
        <v>1</v>
      </c>
      <c r="BA345" s="93"/>
      <c r="BB345" s="93"/>
      <c r="BC345" s="93"/>
      <c r="BD345" s="93"/>
      <c r="BE345" s="93"/>
      <c r="BR345" s="52">
        <v>14000</v>
      </c>
      <c r="BS345" s="52" t="e">
        <f>VLOOKUP(M345,#REF!,2,TRUE)*(BR345/1000000)</f>
        <v>#REF!</v>
      </c>
      <c r="BT345" s="43" t="e">
        <f>VLOOKUP(M345,#REF!,3,TRUE)*(BR345/1000000)</f>
        <v>#REF!</v>
      </c>
    </row>
    <row r="346" spans="1:72" ht="15.75" customHeight="1" x14ac:dyDescent="0.25">
      <c r="A346" s="9" t="s">
        <v>299</v>
      </c>
      <c r="B346" s="92">
        <v>1987</v>
      </c>
      <c r="C346" s="92" t="s">
        <v>1452</v>
      </c>
      <c r="D346" s="93" t="s">
        <v>1557</v>
      </c>
      <c r="E346" s="93" t="s">
        <v>1280</v>
      </c>
      <c r="F346" s="93" t="s">
        <v>760</v>
      </c>
      <c r="G346" s="95">
        <v>59501</v>
      </c>
      <c r="H346" s="114"/>
      <c r="I346" s="114"/>
      <c r="J346" s="93" t="s">
        <v>303</v>
      </c>
      <c r="K346" s="97">
        <v>0.09</v>
      </c>
      <c r="L346" s="92" t="s">
        <v>453</v>
      </c>
      <c r="M346" s="93" t="s">
        <v>302</v>
      </c>
      <c r="N346" s="92" t="s">
        <v>45</v>
      </c>
      <c r="O346" s="98">
        <v>2</v>
      </c>
      <c r="P346" s="92"/>
      <c r="Q346" s="102">
        <v>25200</v>
      </c>
      <c r="R346" s="102"/>
      <c r="S346" s="102"/>
      <c r="T346" s="102"/>
      <c r="U346" s="100"/>
      <c r="V346" s="101"/>
      <c r="W346" s="8">
        <v>32112</v>
      </c>
      <c r="Y346" s="8">
        <f t="shared" si="61"/>
        <v>32112</v>
      </c>
      <c r="Z346" s="46">
        <f t="shared" si="62"/>
        <v>37226</v>
      </c>
      <c r="AA346" s="5"/>
      <c r="AB346" s="140"/>
      <c r="AC346" s="93" t="s">
        <v>235</v>
      </c>
      <c r="AD346" s="93"/>
      <c r="AE346" s="93" t="s">
        <v>480</v>
      </c>
      <c r="AF346" s="93" t="s">
        <v>34</v>
      </c>
      <c r="AG346" s="93" t="s">
        <v>472</v>
      </c>
      <c r="AH346" s="92">
        <v>59501</v>
      </c>
      <c r="AI346" s="47"/>
      <c r="AJ346" s="93" t="s">
        <v>304</v>
      </c>
      <c r="AK346" s="93"/>
      <c r="AL346" s="93"/>
      <c r="AM346" s="93"/>
      <c r="AN346" s="93"/>
      <c r="AO346" s="93"/>
      <c r="AP346" s="93"/>
      <c r="AQ346" s="93"/>
      <c r="AR346" s="93"/>
      <c r="AS346" s="93"/>
      <c r="AT346" s="103"/>
      <c r="AU346" s="92">
        <v>2</v>
      </c>
      <c r="AV346" s="93"/>
      <c r="AW346" s="93"/>
      <c r="AX346" s="93"/>
      <c r="AY346" s="93">
        <v>1</v>
      </c>
      <c r="AZ346" s="93">
        <v>1</v>
      </c>
      <c r="BA346" s="93"/>
      <c r="BB346" s="93"/>
      <c r="BC346" s="93"/>
      <c r="BD346" s="93"/>
      <c r="BE346" s="93"/>
      <c r="BR346" s="52">
        <v>63000</v>
      </c>
      <c r="BS346" s="52" t="e">
        <f>VLOOKUP(M346,#REF!,2,TRUE)*(BR346/1000000)</f>
        <v>#REF!</v>
      </c>
      <c r="BT346" s="43" t="e">
        <f>VLOOKUP(M346,#REF!,3,TRUE)*(BR346/1000000)</f>
        <v>#REF!</v>
      </c>
    </row>
    <row r="347" spans="1:72" ht="15.75" customHeight="1" x14ac:dyDescent="0.25">
      <c r="A347" s="9" t="s">
        <v>299</v>
      </c>
      <c r="B347" s="92">
        <v>1987</v>
      </c>
      <c r="C347" s="92" t="s">
        <v>1452</v>
      </c>
      <c r="D347" s="93" t="s">
        <v>1556</v>
      </c>
      <c r="E347" s="93" t="s">
        <v>316</v>
      </c>
      <c r="F347" s="93" t="s">
        <v>192</v>
      </c>
      <c r="G347" s="95">
        <v>59102</v>
      </c>
      <c r="H347" s="114"/>
      <c r="I347" s="114"/>
      <c r="J347" s="93" t="s">
        <v>300</v>
      </c>
      <c r="K347" s="97">
        <v>0.09</v>
      </c>
      <c r="L347" s="92" t="s">
        <v>453</v>
      </c>
      <c r="M347" s="93" t="s">
        <v>1169</v>
      </c>
      <c r="N347" s="92" t="s">
        <v>443</v>
      </c>
      <c r="O347" s="98">
        <v>100</v>
      </c>
      <c r="P347" s="92"/>
      <c r="Q347" s="102">
        <v>3805200</v>
      </c>
      <c r="R347" s="102"/>
      <c r="S347" s="102"/>
      <c r="T347" s="102"/>
      <c r="U347" s="100"/>
      <c r="V347" s="101"/>
      <c r="W347" s="8">
        <v>32112</v>
      </c>
      <c r="Y347" s="8">
        <f t="shared" si="61"/>
        <v>32112</v>
      </c>
      <c r="Z347" s="46">
        <f t="shared" si="62"/>
        <v>37226</v>
      </c>
      <c r="AA347" s="5"/>
      <c r="AB347" s="140"/>
      <c r="AC347" s="93" t="s">
        <v>395</v>
      </c>
      <c r="AD347" s="93" t="s">
        <v>137</v>
      </c>
      <c r="AE347" s="93" t="s">
        <v>448</v>
      </c>
      <c r="AF347" s="93" t="s">
        <v>30</v>
      </c>
      <c r="AG347" s="93" t="s">
        <v>471</v>
      </c>
      <c r="AH347" s="92">
        <v>97201</v>
      </c>
      <c r="AI347" s="47"/>
      <c r="AJ347" s="93" t="s">
        <v>449</v>
      </c>
      <c r="AK347" s="93"/>
      <c r="AL347" s="93"/>
      <c r="AM347" s="93"/>
      <c r="AN347" s="93"/>
      <c r="AO347" s="93"/>
      <c r="AP347" s="93"/>
      <c r="AQ347" s="93"/>
      <c r="AR347" s="93"/>
      <c r="AS347" s="93"/>
      <c r="AT347" s="103"/>
      <c r="AU347" s="92">
        <v>100</v>
      </c>
      <c r="AV347" s="93"/>
      <c r="AW347" s="93"/>
      <c r="AX347" s="93">
        <v>100</v>
      </c>
      <c r="AY347" s="93"/>
      <c r="AZ347" s="93"/>
      <c r="BA347" s="93"/>
      <c r="BB347" s="93"/>
      <c r="BC347" s="93"/>
      <c r="BD347" s="93"/>
      <c r="BE347" s="93"/>
      <c r="BR347" s="52">
        <v>4228000</v>
      </c>
      <c r="BS347" s="52" t="e">
        <f>VLOOKUP(M347,#REF!,2,TRUE)*(BR347/1000000)</f>
        <v>#REF!</v>
      </c>
      <c r="BT347" s="43" t="e">
        <f>VLOOKUP(M347,#REF!,3,TRUE)*(BR347/1000000)</f>
        <v>#REF!</v>
      </c>
    </row>
    <row r="348" spans="1:72" ht="15.75" customHeight="1" x14ac:dyDescent="0.25">
      <c r="B348" s="36">
        <v>1987</v>
      </c>
      <c r="C348" s="154" t="s">
        <v>1032</v>
      </c>
      <c r="D348" s="1" t="s">
        <v>1539</v>
      </c>
      <c r="F348" s="1" t="s">
        <v>1031</v>
      </c>
      <c r="G348" s="1"/>
      <c r="H348" s="155"/>
      <c r="I348" s="155"/>
      <c r="K348" s="1"/>
      <c r="L348" s="1"/>
      <c r="M348" s="38"/>
      <c r="O348" s="41">
        <v>2</v>
      </c>
      <c r="Q348" s="91">
        <v>19520</v>
      </c>
      <c r="R348" s="91"/>
      <c r="S348" s="91"/>
      <c r="T348" s="43"/>
      <c r="AI348" s="47"/>
      <c r="BR348" s="52">
        <v>21688.59</v>
      </c>
      <c r="BS348" s="156"/>
      <c r="BT348" s="111"/>
    </row>
    <row r="349" spans="1:72" x14ac:dyDescent="0.25">
      <c r="B349" s="36">
        <v>1987</v>
      </c>
      <c r="C349" s="154" t="s">
        <v>1032</v>
      </c>
      <c r="D349" s="1" t="s">
        <v>1539</v>
      </c>
      <c r="F349" s="1" t="s">
        <v>1031</v>
      </c>
      <c r="G349" s="1"/>
      <c r="H349" s="155"/>
      <c r="I349" s="155"/>
      <c r="K349" s="1"/>
      <c r="L349" s="1"/>
      <c r="M349" s="38"/>
      <c r="O349" s="41">
        <v>2</v>
      </c>
      <c r="Q349" s="91">
        <v>19520</v>
      </c>
      <c r="R349" s="91"/>
      <c r="S349" s="91"/>
      <c r="T349" s="91"/>
      <c r="AI349" s="47"/>
      <c r="BR349" s="52">
        <v>21689</v>
      </c>
      <c r="BS349" s="156"/>
      <c r="BT349" s="111"/>
    </row>
    <row r="350" spans="1:72" x14ac:dyDescent="0.25">
      <c r="B350" s="36">
        <v>1988</v>
      </c>
      <c r="C350" s="154" t="s">
        <v>1032</v>
      </c>
      <c r="D350" s="1" t="s">
        <v>1049</v>
      </c>
      <c r="F350" s="1" t="s">
        <v>887</v>
      </c>
      <c r="G350" s="1"/>
      <c r="H350" s="155"/>
      <c r="I350" s="155"/>
      <c r="K350" s="1"/>
      <c r="L350" s="1"/>
      <c r="M350" s="38"/>
      <c r="O350" s="41">
        <v>50</v>
      </c>
      <c r="Q350" s="91">
        <v>65560</v>
      </c>
      <c r="R350" s="91"/>
      <c r="S350" s="91"/>
      <c r="T350" s="91"/>
      <c r="AI350" s="47"/>
      <c r="BR350" s="52">
        <v>72853</v>
      </c>
      <c r="BS350" s="156"/>
      <c r="BT350" s="111"/>
    </row>
    <row r="351" spans="1:72" x14ac:dyDescent="0.25">
      <c r="B351" s="36">
        <v>1988</v>
      </c>
      <c r="C351" s="154" t="s">
        <v>1032</v>
      </c>
      <c r="D351" s="1" t="s">
        <v>1050</v>
      </c>
      <c r="F351" s="1" t="s">
        <v>192</v>
      </c>
      <c r="G351" s="1"/>
      <c r="H351" s="155"/>
      <c r="I351" s="155"/>
      <c r="K351" s="1"/>
      <c r="L351" s="1"/>
      <c r="M351" s="38"/>
      <c r="O351" s="41" t="s">
        <v>174</v>
      </c>
      <c r="Q351" s="91">
        <v>0</v>
      </c>
      <c r="R351" s="91"/>
      <c r="S351" s="91"/>
      <c r="T351" s="91"/>
      <c r="AI351" s="47"/>
      <c r="BR351" s="52" t="s">
        <v>174</v>
      </c>
      <c r="BS351" s="156"/>
      <c r="BT351" s="111"/>
    </row>
    <row r="352" spans="1:72" x14ac:dyDescent="0.25">
      <c r="B352" s="36">
        <v>1989</v>
      </c>
      <c r="C352" s="154" t="s">
        <v>1032</v>
      </c>
      <c r="D352" s="1" t="s">
        <v>1051</v>
      </c>
      <c r="F352" s="1" t="s">
        <v>1029</v>
      </c>
      <c r="G352" s="1"/>
      <c r="H352" s="155"/>
      <c r="I352" s="155"/>
      <c r="K352" s="1"/>
      <c r="L352" s="1"/>
      <c r="M352" s="38"/>
      <c r="O352" s="41">
        <v>30</v>
      </c>
      <c r="Q352" s="91">
        <v>440330</v>
      </c>
      <c r="R352" s="91"/>
      <c r="S352" s="91"/>
      <c r="T352" s="91"/>
      <c r="AI352" s="47"/>
      <c r="BR352" s="52">
        <f>513718+587107</f>
        <v>1100825</v>
      </c>
      <c r="BS352" s="156"/>
      <c r="BT352" s="111"/>
    </row>
    <row r="353" spans="2:72" x14ac:dyDescent="0.25">
      <c r="B353" s="36">
        <v>1992</v>
      </c>
      <c r="C353" s="154" t="s">
        <v>1032</v>
      </c>
      <c r="D353" s="1" t="s">
        <v>1052</v>
      </c>
      <c r="F353" s="1" t="s">
        <v>338</v>
      </c>
      <c r="G353" s="1"/>
      <c r="H353" s="155"/>
      <c r="I353" s="155"/>
      <c r="K353" s="1"/>
      <c r="L353" s="1"/>
      <c r="M353" s="38" t="s">
        <v>48</v>
      </c>
      <c r="O353" s="41">
        <v>96</v>
      </c>
      <c r="Q353" s="91">
        <v>3989700</v>
      </c>
      <c r="R353" s="91"/>
      <c r="S353" s="91"/>
      <c r="T353" s="91"/>
      <c r="AI353" s="47"/>
      <c r="BR353" s="52">
        <v>4433000</v>
      </c>
      <c r="BS353" s="156"/>
      <c r="BT353" s="111"/>
    </row>
    <row r="354" spans="2:72" x14ac:dyDescent="0.25">
      <c r="B354" s="36">
        <v>1993</v>
      </c>
      <c r="C354" s="154" t="s">
        <v>1032</v>
      </c>
      <c r="D354" s="1" t="s">
        <v>1540</v>
      </c>
      <c r="F354" s="1" t="s">
        <v>338</v>
      </c>
      <c r="G354" s="1"/>
      <c r="H354" s="155"/>
      <c r="I354" s="155"/>
      <c r="M354" s="38" t="s">
        <v>48</v>
      </c>
      <c r="O354" s="41">
        <v>6</v>
      </c>
      <c r="Q354" s="91">
        <v>362790</v>
      </c>
      <c r="R354" s="91"/>
      <c r="S354" s="91"/>
      <c r="T354" s="91"/>
      <c r="AI354" s="47"/>
      <c r="BR354" s="52">
        <v>403100</v>
      </c>
      <c r="BS354" s="156"/>
      <c r="BT354" s="111"/>
    </row>
    <row r="355" spans="2:72" x14ac:dyDescent="0.25">
      <c r="B355" s="36">
        <v>1993</v>
      </c>
      <c r="C355" s="154" t="s">
        <v>1032</v>
      </c>
      <c r="D355" s="1" t="s">
        <v>1541</v>
      </c>
      <c r="F355" s="1" t="s">
        <v>338</v>
      </c>
      <c r="G355" s="1"/>
      <c r="H355" s="155"/>
      <c r="I355" s="155"/>
      <c r="M355" s="38" t="s">
        <v>48</v>
      </c>
      <c r="O355" s="41">
        <v>6</v>
      </c>
      <c r="Q355" s="91">
        <v>364590</v>
      </c>
      <c r="R355" s="91"/>
      <c r="S355" s="91"/>
      <c r="T355" s="91"/>
      <c r="AI355" s="47"/>
      <c r="BR355" s="52">
        <v>405100</v>
      </c>
      <c r="BS355" s="156"/>
      <c r="BT355" s="111"/>
    </row>
    <row r="356" spans="2:72" x14ac:dyDescent="0.25">
      <c r="B356" s="36">
        <v>1993</v>
      </c>
      <c r="C356" s="154" t="s">
        <v>1032</v>
      </c>
      <c r="D356" s="1" t="s">
        <v>1542</v>
      </c>
      <c r="F356" s="1" t="s">
        <v>338</v>
      </c>
      <c r="G356" s="1"/>
      <c r="H356" s="155"/>
      <c r="I356" s="155"/>
      <c r="M356" s="38" t="s">
        <v>48</v>
      </c>
      <c r="O356" s="41">
        <v>6</v>
      </c>
      <c r="Q356" s="91">
        <v>365490</v>
      </c>
      <c r="R356" s="91"/>
      <c r="S356" s="91"/>
      <c r="T356" s="91"/>
      <c r="AI356" s="47"/>
      <c r="BR356" s="52">
        <v>406100</v>
      </c>
      <c r="BS356" s="156"/>
      <c r="BT356" s="111"/>
    </row>
    <row r="357" spans="2:72" x14ac:dyDescent="0.25">
      <c r="B357" s="36">
        <v>1994</v>
      </c>
      <c r="C357" s="154" t="s">
        <v>1032</v>
      </c>
      <c r="D357" s="1" t="s">
        <v>1053</v>
      </c>
      <c r="F357" s="1" t="s">
        <v>65</v>
      </c>
      <c r="G357" s="1"/>
      <c r="H357" s="155"/>
      <c r="I357" s="155"/>
      <c r="M357" s="38" t="s">
        <v>48</v>
      </c>
      <c r="O357" s="41">
        <v>48</v>
      </c>
      <c r="Q357" s="91">
        <v>2033940</v>
      </c>
      <c r="R357" s="91"/>
      <c r="S357" s="91"/>
      <c r="T357" s="91"/>
      <c r="AI357" s="47"/>
      <c r="BR357" s="52">
        <v>2259934</v>
      </c>
      <c r="BS357" s="156"/>
      <c r="BT357" s="111"/>
    </row>
    <row r="358" spans="2:72" x14ac:dyDescent="0.25">
      <c r="B358" s="36">
        <v>1994</v>
      </c>
      <c r="C358" s="154" t="s">
        <v>1032</v>
      </c>
      <c r="D358" s="1" t="s">
        <v>1543</v>
      </c>
      <c r="F358" s="1" t="s">
        <v>65</v>
      </c>
      <c r="G358" s="1"/>
      <c r="H358" s="155"/>
      <c r="I358" s="155"/>
      <c r="M358" s="38" t="s">
        <v>48</v>
      </c>
      <c r="O358" s="41">
        <v>20</v>
      </c>
      <c r="Q358" s="91">
        <v>1207620</v>
      </c>
      <c r="R358" s="91"/>
      <c r="S358" s="91"/>
      <c r="T358" s="91"/>
      <c r="AI358" s="47"/>
      <c r="BR358" s="52">
        <v>1341795</v>
      </c>
      <c r="BS358" s="156"/>
      <c r="BT358" s="111"/>
    </row>
    <row r="359" spans="2:72" x14ac:dyDescent="0.25">
      <c r="B359" s="36">
        <v>1994</v>
      </c>
      <c r="C359" s="154" t="s">
        <v>1032</v>
      </c>
      <c r="D359" s="1" t="s">
        <v>1054</v>
      </c>
      <c r="F359" s="1" t="s">
        <v>887</v>
      </c>
      <c r="G359" s="1"/>
      <c r="H359" s="155"/>
      <c r="I359" s="155"/>
      <c r="M359" s="38" t="s">
        <v>48</v>
      </c>
      <c r="O359" s="41">
        <v>7</v>
      </c>
      <c r="Q359" s="91">
        <v>221410</v>
      </c>
      <c r="R359" s="91"/>
      <c r="S359" s="91"/>
      <c r="T359" s="91"/>
      <c r="AI359" s="47"/>
      <c r="BR359" s="52">
        <v>246012</v>
      </c>
      <c r="BS359" s="156"/>
      <c r="BT359" s="111"/>
    </row>
    <row r="360" spans="2:72" x14ac:dyDescent="0.25">
      <c r="B360" s="36">
        <v>1995</v>
      </c>
      <c r="C360" s="154" t="s">
        <v>1032</v>
      </c>
      <c r="D360" s="1" t="s">
        <v>1055</v>
      </c>
      <c r="F360" s="1" t="s">
        <v>192</v>
      </c>
      <c r="G360" s="1"/>
      <c r="H360" s="155"/>
      <c r="I360" s="155"/>
      <c r="M360" s="38"/>
      <c r="O360" s="41" t="s">
        <v>174</v>
      </c>
      <c r="Q360" s="91">
        <v>0</v>
      </c>
      <c r="R360" s="91"/>
      <c r="S360" s="91"/>
      <c r="T360" s="91"/>
      <c r="AI360" s="47"/>
      <c r="BR360" s="52" t="s">
        <v>174</v>
      </c>
      <c r="BS360" s="156"/>
      <c r="BT360" s="111"/>
    </row>
    <row r="361" spans="2:72" x14ac:dyDescent="0.25">
      <c r="B361" s="36">
        <v>1996</v>
      </c>
      <c r="C361" s="154" t="s">
        <v>1032</v>
      </c>
      <c r="D361" s="1" t="s">
        <v>1056</v>
      </c>
      <c r="F361" s="1" t="s">
        <v>133</v>
      </c>
      <c r="G361" s="1"/>
      <c r="H361" s="155"/>
      <c r="I361" s="155"/>
      <c r="M361" s="38" t="s">
        <v>48</v>
      </c>
      <c r="O361" s="36">
        <v>30</v>
      </c>
      <c r="Q361" s="91">
        <v>2616100</v>
      </c>
      <c r="R361" s="91"/>
      <c r="S361" s="91"/>
      <c r="T361" s="91"/>
      <c r="AI361" s="47"/>
      <c r="BR361" s="52">
        <v>3240120</v>
      </c>
      <c r="BS361" s="156"/>
      <c r="BT361" s="111"/>
    </row>
    <row r="362" spans="2:72" x14ac:dyDescent="0.25">
      <c r="B362" s="36">
        <v>1996</v>
      </c>
      <c r="C362" s="154" t="s">
        <v>1032</v>
      </c>
      <c r="D362" s="1" t="s">
        <v>1057</v>
      </c>
      <c r="F362" s="1" t="s">
        <v>1033</v>
      </c>
      <c r="G362" s="1"/>
      <c r="H362" s="155"/>
      <c r="I362" s="155"/>
      <c r="M362" s="38" t="s">
        <v>48</v>
      </c>
      <c r="O362" s="36"/>
      <c r="Q362" s="91">
        <v>930060</v>
      </c>
      <c r="R362" s="91"/>
      <c r="S362" s="91"/>
      <c r="T362" s="91"/>
      <c r="AI362" s="47"/>
      <c r="BR362" s="52">
        <v>1033400</v>
      </c>
      <c r="BS362" s="156"/>
      <c r="BT362" s="111"/>
    </row>
    <row r="363" spans="2:72" x14ac:dyDescent="0.25">
      <c r="B363" s="36">
        <v>1997</v>
      </c>
      <c r="C363" s="154" t="s">
        <v>1032</v>
      </c>
      <c r="D363" s="1" t="s">
        <v>1058</v>
      </c>
      <c r="F363" s="1" t="s">
        <v>338</v>
      </c>
      <c r="G363" s="1"/>
      <c r="H363" s="155"/>
      <c r="I363" s="155"/>
      <c r="M363" s="38" t="s">
        <v>48</v>
      </c>
      <c r="O363" s="41">
        <v>12</v>
      </c>
      <c r="Q363" s="91">
        <v>0</v>
      </c>
      <c r="R363" s="91"/>
      <c r="S363" s="91"/>
      <c r="T363" s="91"/>
      <c r="AI363" s="47"/>
      <c r="BR363" s="52">
        <v>1186492</v>
      </c>
      <c r="BS363" s="156"/>
      <c r="BT363" s="111"/>
    </row>
    <row r="364" spans="2:72" x14ac:dyDescent="0.25">
      <c r="B364" s="36">
        <v>1997</v>
      </c>
      <c r="C364" s="154" t="s">
        <v>1032</v>
      </c>
      <c r="D364" s="1" t="s">
        <v>1059</v>
      </c>
      <c r="F364" s="1" t="s">
        <v>912</v>
      </c>
      <c r="G364" s="1"/>
      <c r="H364" s="155"/>
      <c r="I364" s="155"/>
      <c r="M364" s="38" t="s">
        <v>48</v>
      </c>
      <c r="O364" s="41">
        <v>24</v>
      </c>
      <c r="Q364" s="91">
        <v>223160</v>
      </c>
      <c r="R364" s="91"/>
      <c r="S364" s="91"/>
      <c r="T364" s="91"/>
      <c r="AI364" s="47"/>
      <c r="BR364" s="52">
        <v>797106</v>
      </c>
      <c r="BS364" s="156"/>
      <c r="BT364" s="111"/>
    </row>
    <row r="365" spans="2:72" x14ac:dyDescent="0.25">
      <c r="B365" s="36">
        <v>1997</v>
      </c>
      <c r="C365" s="154" t="s">
        <v>1032</v>
      </c>
      <c r="D365" s="1" t="s">
        <v>1060</v>
      </c>
      <c r="F365" s="1" t="s">
        <v>912</v>
      </c>
      <c r="G365" s="1"/>
      <c r="H365" s="155"/>
      <c r="I365" s="155"/>
      <c r="M365" s="38" t="s">
        <v>48</v>
      </c>
      <c r="O365" s="41">
        <v>11</v>
      </c>
      <c r="Q365" s="91">
        <v>480400</v>
      </c>
      <c r="R365" s="91"/>
      <c r="S365" s="91"/>
      <c r="T365" s="91"/>
      <c r="AI365" s="47"/>
      <c r="BR365" s="52">
        <v>618882</v>
      </c>
      <c r="BS365" s="156"/>
      <c r="BT365" s="111"/>
    </row>
    <row r="366" spans="2:72" x14ac:dyDescent="0.25">
      <c r="B366" s="36">
        <v>1997</v>
      </c>
      <c r="C366" s="154" t="s">
        <v>1032</v>
      </c>
      <c r="D366" s="1" t="s">
        <v>1061</v>
      </c>
      <c r="F366" s="1" t="s">
        <v>60</v>
      </c>
      <c r="G366" s="1"/>
      <c r="H366" s="155"/>
      <c r="I366" s="155"/>
      <c r="M366" s="38" t="s">
        <v>48</v>
      </c>
      <c r="O366" s="41">
        <v>36</v>
      </c>
      <c r="Q366" s="91">
        <v>1546650</v>
      </c>
      <c r="R366" s="91"/>
      <c r="S366" s="91"/>
      <c r="T366" s="91"/>
      <c r="AI366" s="47"/>
      <c r="BR366" s="52">
        <v>1911885</v>
      </c>
      <c r="BS366" s="156"/>
      <c r="BT366" s="111"/>
    </row>
    <row r="367" spans="2:72" x14ac:dyDescent="0.25">
      <c r="B367" s="36">
        <v>1997</v>
      </c>
      <c r="C367" s="154" t="s">
        <v>1032</v>
      </c>
      <c r="D367" s="1" t="s">
        <v>1062</v>
      </c>
      <c r="F367" s="1" t="s">
        <v>1034</v>
      </c>
      <c r="G367" s="1"/>
      <c r="H367" s="155"/>
      <c r="I367" s="155"/>
      <c r="M367" s="38" t="s">
        <v>48</v>
      </c>
      <c r="O367" s="41">
        <v>32</v>
      </c>
      <c r="Q367" s="91">
        <v>1672930</v>
      </c>
      <c r="R367" s="91"/>
      <c r="S367" s="91"/>
      <c r="T367" s="91"/>
      <c r="AI367" s="47"/>
      <c r="BR367" s="52">
        <v>2110655</v>
      </c>
      <c r="BS367" s="156"/>
      <c r="BT367" s="111"/>
    </row>
    <row r="368" spans="2:72" x14ac:dyDescent="0.25">
      <c r="B368" s="36">
        <v>1997</v>
      </c>
      <c r="C368" s="154" t="s">
        <v>1032</v>
      </c>
      <c r="D368" s="1" t="s">
        <v>1063</v>
      </c>
      <c r="F368" s="1" t="s">
        <v>1035</v>
      </c>
      <c r="G368" s="1"/>
      <c r="H368" s="155"/>
      <c r="I368" s="155"/>
      <c r="M368" s="38" t="s">
        <v>48</v>
      </c>
      <c r="O368" s="41">
        <v>32</v>
      </c>
      <c r="Q368" s="91">
        <v>1333810</v>
      </c>
      <c r="R368" s="91"/>
      <c r="S368" s="91"/>
      <c r="T368" s="91"/>
      <c r="AI368" s="47"/>
      <c r="BR368" s="52">
        <v>1731869</v>
      </c>
      <c r="BS368" s="156"/>
      <c r="BT368" s="111"/>
    </row>
    <row r="369" spans="2:72" x14ac:dyDescent="0.25">
      <c r="B369" s="36">
        <v>1997</v>
      </c>
      <c r="C369" s="154" t="s">
        <v>1032</v>
      </c>
      <c r="D369" s="1" t="s">
        <v>1064</v>
      </c>
      <c r="F369" s="1" t="s">
        <v>133</v>
      </c>
      <c r="G369" s="1"/>
      <c r="H369" s="155"/>
      <c r="I369" s="155"/>
      <c r="M369" s="38" t="s">
        <v>48</v>
      </c>
      <c r="O369" s="41">
        <v>28</v>
      </c>
      <c r="Q369" s="91">
        <v>2675000</v>
      </c>
      <c r="R369" s="91"/>
      <c r="S369" s="91"/>
      <c r="T369" s="91"/>
      <c r="AI369" s="47"/>
      <c r="BR369" s="52">
        <v>2606164</v>
      </c>
      <c r="BS369" s="156"/>
      <c r="BT369" s="111"/>
    </row>
    <row r="370" spans="2:72" x14ac:dyDescent="0.25">
      <c r="B370" s="36">
        <v>1998</v>
      </c>
      <c r="C370" s="154" t="s">
        <v>1032</v>
      </c>
      <c r="D370" s="1" t="s">
        <v>1065</v>
      </c>
      <c r="F370" s="1" t="s">
        <v>1026</v>
      </c>
      <c r="G370" s="1"/>
      <c r="H370" s="155"/>
      <c r="I370" s="155"/>
      <c r="M370" s="38" t="s">
        <v>307</v>
      </c>
      <c r="O370" s="41">
        <v>31</v>
      </c>
      <c r="Q370" s="91">
        <v>2300000</v>
      </c>
      <c r="R370" s="91"/>
      <c r="S370" s="91"/>
      <c r="T370" s="91"/>
      <c r="AI370" s="47"/>
      <c r="BR370" s="52" t="s">
        <v>174</v>
      </c>
      <c r="BS370" s="156"/>
      <c r="BT370" s="111"/>
    </row>
    <row r="371" spans="2:72" x14ac:dyDescent="0.25">
      <c r="B371" s="36">
        <v>1998</v>
      </c>
      <c r="C371" s="154" t="s">
        <v>1032</v>
      </c>
      <c r="D371" s="1" t="s">
        <v>1066</v>
      </c>
      <c r="F371" s="1" t="s">
        <v>192</v>
      </c>
      <c r="G371" s="1"/>
      <c r="H371" s="155"/>
      <c r="I371" s="155"/>
      <c r="M371" s="38" t="s">
        <v>48</v>
      </c>
      <c r="O371" s="41">
        <v>92</v>
      </c>
      <c r="Q371" s="91">
        <v>4180990</v>
      </c>
      <c r="R371" s="91"/>
      <c r="S371" s="91"/>
      <c r="T371" s="91"/>
      <c r="AI371" s="47"/>
      <c r="BR371" s="52">
        <v>6060575</v>
      </c>
      <c r="BS371" s="156"/>
      <c r="BT371" s="111"/>
    </row>
    <row r="372" spans="2:72" x14ac:dyDescent="0.25">
      <c r="B372" s="36">
        <v>1998</v>
      </c>
      <c r="C372" s="154" t="s">
        <v>1032</v>
      </c>
      <c r="D372" s="1" t="s">
        <v>1067</v>
      </c>
      <c r="F372" s="1" t="s">
        <v>65</v>
      </c>
      <c r="G372" s="1"/>
      <c r="H372" s="155"/>
      <c r="I372" s="155"/>
      <c r="M372" s="38" t="s">
        <v>48</v>
      </c>
      <c r="O372" s="41">
        <v>35</v>
      </c>
      <c r="Q372" s="91">
        <v>4180990</v>
      </c>
      <c r="R372" s="91"/>
      <c r="S372" s="91"/>
      <c r="T372" s="91"/>
      <c r="AI372" s="47"/>
      <c r="BR372" s="52">
        <v>6342447</v>
      </c>
      <c r="BS372" s="156"/>
      <c r="BT372" s="111"/>
    </row>
    <row r="373" spans="2:72" x14ac:dyDescent="0.25">
      <c r="B373" s="36">
        <v>1999</v>
      </c>
      <c r="C373" s="154" t="s">
        <v>1032</v>
      </c>
      <c r="D373" s="1" t="s">
        <v>1068</v>
      </c>
      <c r="F373" s="1" t="s">
        <v>1036</v>
      </c>
      <c r="G373" s="1"/>
      <c r="H373" s="155"/>
      <c r="I373" s="155"/>
      <c r="M373" s="38" t="s">
        <v>48</v>
      </c>
      <c r="O373" s="41">
        <v>56</v>
      </c>
      <c r="Q373" s="91">
        <v>2747040</v>
      </c>
      <c r="R373" s="91"/>
      <c r="S373" s="91"/>
      <c r="T373" s="91"/>
      <c r="AI373" s="47"/>
      <c r="BS373" s="156"/>
      <c r="BT373" s="111"/>
    </row>
    <row r="374" spans="2:72" x14ac:dyDescent="0.25">
      <c r="B374" s="36">
        <v>1999</v>
      </c>
      <c r="C374" s="154" t="s">
        <v>1032</v>
      </c>
      <c r="D374" s="1" t="s">
        <v>1069</v>
      </c>
      <c r="F374" s="1" t="s">
        <v>338</v>
      </c>
      <c r="G374" s="1"/>
      <c r="H374" s="155"/>
      <c r="I374" s="155"/>
      <c r="M374" s="38" t="s">
        <v>48</v>
      </c>
      <c r="O374" s="41">
        <v>56</v>
      </c>
      <c r="Q374" s="91">
        <v>2700000</v>
      </c>
      <c r="R374" s="91"/>
      <c r="S374" s="91"/>
      <c r="T374" s="91"/>
      <c r="AI374" s="47"/>
      <c r="BS374" s="156"/>
      <c r="BT374" s="111"/>
    </row>
    <row r="375" spans="2:72" x14ac:dyDescent="0.25">
      <c r="B375" s="36">
        <v>1999</v>
      </c>
      <c r="C375" s="154" t="s">
        <v>1032</v>
      </c>
      <c r="D375" s="1" t="s">
        <v>1070</v>
      </c>
      <c r="F375" s="1" t="s">
        <v>192</v>
      </c>
      <c r="G375" s="1"/>
      <c r="H375" s="155"/>
      <c r="I375" s="155"/>
      <c r="M375" s="38" t="s">
        <v>48</v>
      </c>
      <c r="O375" s="41">
        <v>50</v>
      </c>
      <c r="Q375" s="91">
        <v>2724300</v>
      </c>
      <c r="R375" s="91"/>
      <c r="S375" s="91"/>
      <c r="T375" s="91"/>
      <c r="AI375" s="47"/>
      <c r="BS375" s="156"/>
      <c r="BT375" s="111"/>
    </row>
    <row r="376" spans="2:72" x14ac:dyDescent="0.25">
      <c r="B376" s="36">
        <v>1999</v>
      </c>
      <c r="C376" s="154" t="s">
        <v>1032</v>
      </c>
      <c r="D376" s="1" t="s">
        <v>1544</v>
      </c>
      <c r="F376" s="1" t="s">
        <v>1037</v>
      </c>
      <c r="G376" s="1"/>
      <c r="H376" s="155"/>
      <c r="I376" s="155"/>
      <c r="M376" s="38" t="s">
        <v>48</v>
      </c>
      <c r="O376" s="41">
        <v>20</v>
      </c>
      <c r="Q376" s="91">
        <v>2308500</v>
      </c>
      <c r="R376" s="91"/>
      <c r="S376" s="91"/>
      <c r="T376" s="91"/>
      <c r="AI376" s="47"/>
      <c r="BS376" s="156"/>
      <c r="BT376" s="111"/>
    </row>
    <row r="377" spans="2:72" x14ac:dyDescent="0.25">
      <c r="B377" s="36">
        <v>1999</v>
      </c>
      <c r="C377" s="154" t="s">
        <v>1032</v>
      </c>
      <c r="D377" s="1" t="s">
        <v>1068</v>
      </c>
      <c r="F377" s="1" t="s">
        <v>1036</v>
      </c>
      <c r="G377" s="1"/>
      <c r="H377" s="155"/>
      <c r="I377" s="155"/>
      <c r="M377" s="38" t="s">
        <v>48</v>
      </c>
      <c r="O377" s="41">
        <v>53</v>
      </c>
      <c r="Q377" s="91">
        <v>811150</v>
      </c>
      <c r="R377" s="91"/>
      <c r="S377" s="91"/>
      <c r="T377" s="91"/>
      <c r="AI377" s="47"/>
      <c r="BS377" s="156"/>
      <c r="BT377" s="111"/>
    </row>
    <row r="378" spans="2:72" x14ac:dyDescent="0.25">
      <c r="B378" s="36">
        <v>1999</v>
      </c>
      <c r="C378" s="154" t="s">
        <v>1032</v>
      </c>
      <c r="D378" s="1" t="s">
        <v>1071</v>
      </c>
      <c r="F378" s="1" t="s">
        <v>1031</v>
      </c>
      <c r="G378" s="1"/>
      <c r="H378" s="155"/>
      <c r="I378" s="155"/>
      <c r="M378" s="38" t="s">
        <v>48</v>
      </c>
      <c r="O378" s="41">
        <v>15</v>
      </c>
      <c r="Q378" s="91">
        <v>0</v>
      </c>
      <c r="R378" s="91"/>
      <c r="S378" s="91"/>
      <c r="T378" s="91"/>
      <c r="AI378" s="47"/>
      <c r="BS378" s="156"/>
      <c r="BT378" s="111"/>
    </row>
    <row r="379" spans="2:72" x14ac:dyDescent="0.25">
      <c r="B379" s="36">
        <v>1999</v>
      </c>
      <c r="C379" s="154" t="s">
        <v>1032</v>
      </c>
      <c r="D379" s="1" t="s">
        <v>1072</v>
      </c>
      <c r="F379" s="1" t="s">
        <v>192</v>
      </c>
      <c r="G379" s="1"/>
      <c r="H379" s="155"/>
      <c r="I379" s="155"/>
      <c r="M379" s="38" t="s">
        <v>48</v>
      </c>
      <c r="O379" s="41">
        <v>41</v>
      </c>
      <c r="Q379" s="91">
        <v>2741740</v>
      </c>
      <c r="R379" s="91"/>
      <c r="S379" s="91"/>
      <c r="T379" s="91"/>
      <c r="AI379" s="47"/>
      <c r="BS379" s="156"/>
      <c r="BT379" s="111"/>
    </row>
    <row r="380" spans="2:72" x14ac:dyDescent="0.25">
      <c r="B380" s="36">
        <v>2000</v>
      </c>
      <c r="C380" s="154" t="s">
        <v>1032</v>
      </c>
      <c r="D380" s="1" t="s">
        <v>1073</v>
      </c>
      <c r="F380" s="1" t="s">
        <v>1038</v>
      </c>
      <c r="G380" s="1"/>
      <c r="H380" s="155"/>
      <c r="I380" s="155"/>
      <c r="M380" s="38" t="s">
        <v>48</v>
      </c>
      <c r="O380" s="41">
        <v>8</v>
      </c>
      <c r="Q380" s="91">
        <v>700000</v>
      </c>
      <c r="R380" s="91"/>
      <c r="S380" s="91"/>
      <c r="T380" s="91"/>
      <c r="AI380" s="47"/>
      <c r="BS380" s="156"/>
      <c r="BT380" s="111"/>
    </row>
    <row r="381" spans="2:72" x14ac:dyDescent="0.25">
      <c r="B381" s="36">
        <v>2000</v>
      </c>
      <c r="C381" s="154" t="s">
        <v>1032</v>
      </c>
      <c r="D381" s="1" t="s">
        <v>1074</v>
      </c>
      <c r="F381" s="1" t="s">
        <v>1037</v>
      </c>
      <c r="G381" s="1"/>
      <c r="H381" s="155"/>
      <c r="I381" s="155"/>
      <c r="M381" s="38" t="s">
        <v>307</v>
      </c>
      <c r="Q381" s="91">
        <v>2663040</v>
      </c>
      <c r="R381" s="91"/>
      <c r="S381" s="91"/>
      <c r="T381" s="91"/>
      <c r="AI381" s="47"/>
      <c r="BS381" s="156"/>
      <c r="BT381" s="111"/>
    </row>
    <row r="382" spans="2:72" x14ac:dyDescent="0.25">
      <c r="B382" s="36">
        <v>2000</v>
      </c>
      <c r="C382" s="154" t="s">
        <v>1032</v>
      </c>
      <c r="D382" s="1" t="s">
        <v>1545</v>
      </c>
      <c r="F382" s="1" t="s">
        <v>195</v>
      </c>
      <c r="G382" s="1"/>
      <c r="H382" s="155"/>
      <c r="I382" s="155"/>
      <c r="M382" s="38" t="s">
        <v>48</v>
      </c>
      <c r="O382" s="41">
        <v>28</v>
      </c>
      <c r="Q382" s="91">
        <v>2507300</v>
      </c>
      <c r="R382" s="91"/>
      <c r="S382" s="91"/>
      <c r="T382" s="91"/>
      <c r="AI382" s="47"/>
      <c r="BS382" s="156"/>
      <c r="BT382" s="111"/>
    </row>
    <row r="383" spans="2:72" x14ac:dyDescent="0.25">
      <c r="B383" s="36">
        <v>2000</v>
      </c>
      <c r="C383" s="154" t="s">
        <v>1032</v>
      </c>
      <c r="D383" s="1" t="s">
        <v>1546</v>
      </c>
      <c r="F383" s="1" t="s">
        <v>60</v>
      </c>
      <c r="G383" s="1"/>
      <c r="H383" s="155"/>
      <c r="I383" s="155"/>
      <c r="M383" s="38" t="s">
        <v>48</v>
      </c>
      <c r="O383" s="41">
        <v>56</v>
      </c>
      <c r="Q383" s="91">
        <v>2756310</v>
      </c>
      <c r="R383" s="91"/>
      <c r="S383" s="91"/>
      <c r="T383" s="91"/>
      <c r="AI383" s="47"/>
      <c r="BS383" s="156"/>
      <c r="BT383" s="111"/>
    </row>
    <row r="384" spans="2:72" x14ac:dyDescent="0.25">
      <c r="B384" s="36">
        <v>2000</v>
      </c>
      <c r="C384" s="154" t="s">
        <v>1032</v>
      </c>
      <c r="D384" s="1" t="s">
        <v>1075</v>
      </c>
      <c r="F384" s="1" t="s">
        <v>192</v>
      </c>
      <c r="G384" s="1"/>
      <c r="H384" s="155"/>
      <c r="I384" s="155"/>
      <c r="M384" s="38" t="s">
        <v>48</v>
      </c>
      <c r="O384" s="41">
        <v>30</v>
      </c>
      <c r="Q384" s="91">
        <v>1642370</v>
      </c>
      <c r="R384" s="91"/>
      <c r="S384" s="91"/>
      <c r="T384" s="91"/>
      <c r="AI384" s="47"/>
      <c r="BS384" s="156"/>
      <c r="BT384" s="111"/>
    </row>
    <row r="385" spans="2:72" x14ac:dyDescent="0.25">
      <c r="B385" s="36">
        <v>2000</v>
      </c>
      <c r="C385" s="154" t="s">
        <v>1032</v>
      </c>
      <c r="D385" s="1" t="s">
        <v>1076</v>
      </c>
      <c r="F385" s="1" t="s">
        <v>65</v>
      </c>
      <c r="G385" s="1"/>
      <c r="H385" s="155"/>
      <c r="I385" s="155"/>
      <c r="M385" s="38" t="s">
        <v>48</v>
      </c>
      <c r="O385" s="41">
        <v>51</v>
      </c>
      <c r="Q385" s="91">
        <v>2751420</v>
      </c>
      <c r="R385" s="91"/>
      <c r="S385" s="91"/>
      <c r="T385" s="91"/>
      <c r="AI385" s="47"/>
      <c r="BS385" s="156"/>
      <c r="BT385" s="111"/>
    </row>
    <row r="386" spans="2:72" x14ac:dyDescent="0.25">
      <c r="B386" s="36">
        <v>2000</v>
      </c>
      <c r="C386" s="154" t="s">
        <v>1032</v>
      </c>
      <c r="D386" s="1" t="s">
        <v>1072</v>
      </c>
      <c r="F386" s="1" t="s">
        <v>1022</v>
      </c>
      <c r="G386" s="1"/>
      <c r="H386" s="155"/>
      <c r="I386" s="155"/>
      <c r="M386" s="38" t="s">
        <v>48</v>
      </c>
      <c r="O386" s="41">
        <v>41</v>
      </c>
      <c r="Q386" s="91">
        <v>2750000</v>
      </c>
      <c r="R386" s="91"/>
      <c r="S386" s="91"/>
      <c r="T386" s="91"/>
      <c r="AI386" s="47"/>
      <c r="BS386" s="156"/>
      <c r="BT386" s="111"/>
    </row>
    <row r="387" spans="2:72" x14ac:dyDescent="0.25">
      <c r="B387" s="36">
        <v>2000</v>
      </c>
      <c r="C387" s="154" t="s">
        <v>1032</v>
      </c>
      <c r="D387" s="1" t="s">
        <v>1547</v>
      </c>
      <c r="F387" s="1" t="s">
        <v>192</v>
      </c>
      <c r="G387" s="1"/>
      <c r="H387" s="155"/>
      <c r="I387" s="155"/>
      <c r="M387" s="38" t="s">
        <v>48</v>
      </c>
      <c r="O387" s="41">
        <v>50</v>
      </c>
      <c r="Q387" s="91">
        <v>2751420</v>
      </c>
      <c r="R387" s="91"/>
      <c r="S387" s="91"/>
      <c r="T387" s="91"/>
      <c r="AI387" s="47"/>
      <c r="BS387" s="156"/>
      <c r="BT387" s="111"/>
    </row>
    <row r="388" spans="2:72" x14ac:dyDescent="0.25">
      <c r="B388" s="36">
        <v>2001</v>
      </c>
      <c r="C388" s="154" t="s">
        <v>1032</v>
      </c>
      <c r="D388" s="1" t="s">
        <v>1077</v>
      </c>
      <c r="F388" s="1" t="s">
        <v>1039</v>
      </c>
      <c r="G388" s="1"/>
      <c r="H388" s="155"/>
      <c r="I388" s="155"/>
      <c r="M388" s="38" t="s">
        <v>48</v>
      </c>
      <c r="O388" s="41">
        <v>32</v>
      </c>
      <c r="Q388" s="91">
        <v>1679290</v>
      </c>
      <c r="R388" s="91"/>
      <c r="S388" s="91"/>
      <c r="T388" s="91"/>
      <c r="AI388" s="47"/>
      <c r="BS388" s="156"/>
      <c r="BT388" s="111"/>
    </row>
    <row r="389" spans="2:72" x14ac:dyDescent="0.25">
      <c r="B389" s="36">
        <v>2001</v>
      </c>
      <c r="C389" s="154" t="s">
        <v>1032</v>
      </c>
      <c r="D389" s="1" t="s">
        <v>1076</v>
      </c>
      <c r="F389" s="1" t="s">
        <v>65</v>
      </c>
      <c r="G389" s="1"/>
      <c r="H389" s="155"/>
      <c r="I389" s="155"/>
      <c r="M389" s="38" t="s">
        <v>48</v>
      </c>
      <c r="O389" s="41">
        <v>51</v>
      </c>
      <c r="Q389" s="91">
        <v>2854550</v>
      </c>
      <c r="R389" s="91"/>
      <c r="S389" s="91"/>
      <c r="T389" s="91"/>
      <c r="AI389" s="47"/>
      <c r="BS389" s="156"/>
      <c r="BT389" s="111"/>
    </row>
    <row r="390" spans="2:72" x14ac:dyDescent="0.25">
      <c r="B390" s="36">
        <v>2001</v>
      </c>
      <c r="C390" s="154" t="s">
        <v>1032</v>
      </c>
      <c r="D390" s="1" t="s">
        <v>1078</v>
      </c>
      <c r="F390" s="1" t="s">
        <v>192</v>
      </c>
      <c r="G390" s="1"/>
      <c r="H390" s="155"/>
      <c r="I390" s="155"/>
      <c r="M390" s="38" t="s">
        <v>48</v>
      </c>
      <c r="O390" s="41">
        <v>60</v>
      </c>
      <c r="Q390" s="91">
        <v>3951410</v>
      </c>
      <c r="R390" s="91"/>
      <c r="S390" s="91"/>
      <c r="T390" s="91"/>
      <c r="AI390" s="47"/>
      <c r="BS390" s="156"/>
      <c r="BT390" s="111"/>
    </row>
    <row r="391" spans="2:72" x14ac:dyDescent="0.25">
      <c r="B391" s="36">
        <v>2002</v>
      </c>
      <c r="C391" s="154" t="s">
        <v>1032</v>
      </c>
      <c r="D391" s="1" t="s">
        <v>1079</v>
      </c>
      <c r="F391" s="1" t="s">
        <v>133</v>
      </c>
      <c r="G391" s="1"/>
      <c r="H391" s="155"/>
      <c r="I391" s="155"/>
      <c r="M391" s="38" t="s">
        <v>307</v>
      </c>
      <c r="O391" s="41">
        <v>50</v>
      </c>
      <c r="Q391" s="91">
        <v>4173410</v>
      </c>
      <c r="R391" s="91"/>
      <c r="S391" s="91"/>
      <c r="T391" s="91"/>
      <c r="AI391" s="47"/>
      <c r="BS391" s="156"/>
      <c r="BT391" s="111"/>
    </row>
    <row r="392" spans="2:72" x14ac:dyDescent="0.25">
      <c r="B392" s="36">
        <v>2002</v>
      </c>
      <c r="C392" s="154" t="s">
        <v>1032</v>
      </c>
      <c r="D392" s="1" t="s">
        <v>1080</v>
      </c>
      <c r="F392" s="1" t="s">
        <v>1040</v>
      </c>
      <c r="G392" s="1"/>
      <c r="H392" s="155"/>
      <c r="I392" s="155"/>
      <c r="M392" s="38" t="s">
        <v>48</v>
      </c>
      <c r="O392" s="41">
        <v>25</v>
      </c>
      <c r="Q392" s="91">
        <v>1923920</v>
      </c>
      <c r="R392" s="91"/>
      <c r="S392" s="91"/>
      <c r="T392" s="91"/>
      <c r="AI392" s="47"/>
      <c r="BS392" s="156"/>
      <c r="BT392" s="111"/>
    </row>
    <row r="393" spans="2:72" x14ac:dyDescent="0.25">
      <c r="B393" s="36">
        <v>2003</v>
      </c>
      <c r="C393" s="154" t="s">
        <v>1032</v>
      </c>
      <c r="D393" s="1" t="s">
        <v>861</v>
      </c>
      <c r="F393" s="1" t="s">
        <v>862</v>
      </c>
      <c r="G393" s="1"/>
      <c r="H393" s="155"/>
      <c r="I393" s="155"/>
      <c r="M393" s="38" t="s">
        <v>307</v>
      </c>
      <c r="O393" s="41">
        <v>31</v>
      </c>
      <c r="Q393" s="91">
        <v>2522950</v>
      </c>
      <c r="R393" s="91"/>
      <c r="S393" s="91"/>
      <c r="T393" s="91"/>
      <c r="AI393" s="47"/>
      <c r="BS393" s="156"/>
      <c r="BT393" s="111"/>
    </row>
    <row r="394" spans="2:72" x14ac:dyDescent="0.25">
      <c r="B394" s="36">
        <v>2003</v>
      </c>
      <c r="C394" s="154" t="s">
        <v>1032</v>
      </c>
      <c r="D394" s="1" t="s">
        <v>1081</v>
      </c>
      <c r="F394" s="1" t="s">
        <v>1036</v>
      </c>
      <c r="G394" s="1"/>
      <c r="H394" s="155"/>
      <c r="I394" s="155"/>
      <c r="M394" s="38" t="s">
        <v>48</v>
      </c>
      <c r="O394" s="41">
        <v>31</v>
      </c>
      <c r="Q394" s="91">
        <v>2482530</v>
      </c>
      <c r="R394" s="91"/>
      <c r="S394" s="91"/>
      <c r="T394" s="91"/>
      <c r="AI394" s="47"/>
      <c r="BS394" s="156"/>
      <c r="BT394" s="111"/>
    </row>
    <row r="395" spans="2:72" x14ac:dyDescent="0.25">
      <c r="B395" s="36">
        <v>2003</v>
      </c>
      <c r="C395" s="154" t="s">
        <v>1032</v>
      </c>
      <c r="D395" s="1" t="s">
        <v>1082</v>
      </c>
      <c r="F395" s="1" t="s">
        <v>1041</v>
      </c>
      <c r="G395" s="1"/>
      <c r="H395" s="155"/>
      <c r="I395" s="155"/>
      <c r="M395" s="38" t="s">
        <v>307</v>
      </c>
      <c r="O395" s="41">
        <v>36</v>
      </c>
      <c r="Q395" s="91">
        <v>2056220</v>
      </c>
      <c r="R395" s="91"/>
      <c r="S395" s="91"/>
      <c r="T395" s="91"/>
      <c r="AI395" s="47"/>
      <c r="BS395" s="156"/>
      <c r="BT395" s="111"/>
    </row>
    <row r="396" spans="2:72" x14ac:dyDescent="0.25">
      <c r="B396" s="36">
        <v>2003</v>
      </c>
      <c r="C396" s="154" t="s">
        <v>1032</v>
      </c>
      <c r="D396" s="1" t="s">
        <v>1083</v>
      </c>
      <c r="F396" s="1" t="s">
        <v>338</v>
      </c>
      <c r="G396" s="1"/>
      <c r="H396" s="155"/>
      <c r="I396" s="155"/>
      <c r="M396" s="38" t="s">
        <v>48</v>
      </c>
      <c r="O396" s="41">
        <v>54</v>
      </c>
      <c r="Q396" s="91">
        <v>5074100</v>
      </c>
      <c r="R396" s="91"/>
      <c r="S396" s="91"/>
      <c r="T396" s="91"/>
      <c r="AI396" s="47"/>
      <c r="BS396" s="156"/>
      <c r="BT396" s="111"/>
    </row>
    <row r="397" spans="2:72" x14ac:dyDescent="0.25">
      <c r="B397" s="36">
        <v>2003</v>
      </c>
      <c r="C397" s="154" t="s">
        <v>1032</v>
      </c>
      <c r="D397" s="1" t="s">
        <v>1084</v>
      </c>
      <c r="F397" s="1" t="s">
        <v>1040</v>
      </c>
      <c r="G397" s="1"/>
      <c r="H397" s="155"/>
      <c r="I397" s="155"/>
      <c r="M397" s="38" t="s">
        <v>48</v>
      </c>
      <c r="O397" s="41">
        <v>31</v>
      </c>
      <c r="Q397" s="91">
        <v>2510220</v>
      </c>
      <c r="R397" s="91"/>
      <c r="S397" s="91"/>
      <c r="T397" s="91"/>
      <c r="AI397" s="47"/>
      <c r="BS397" s="156"/>
      <c r="BT397" s="111"/>
    </row>
    <row r="398" spans="2:72" x14ac:dyDescent="0.25">
      <c r="B398" s="36">
        <v>2003</v>
      </c>
      <c r="C398" s="154" t="s">
        <v>1032</v>
      </c>
      <c r="D398" s="1" t="s">
        <v>1085</v>
      </c>
      <c r="F398" s="1" t="s">
        <v>1029</v>
      </c>
      <c r="G398" s="1"/>
      <c r="H398" s="155"/>
      <c r="I398" s="155"/>
      <c r="M398" s="38" t="s">
        <v>48</v>
      </c>
      <c r="O398" s="41">
        <v>36</v>
      </c>
      <c r="Q398" s="91">
        <v>3600000</v>
      </c>
      <c r="R398" s="91"/>
      <c r="S398" s="91"/>
      <c r="T398" s="91"/>
      <c r="AI398" s="47"/>
      <c r="BS398" s="156"/>
      <c r="BT398" s="111"/>
    </row>
    <row r="399" spans="2:72" x14ac:dyDescent="0.25">
      <c r="B399" s="36">
        <v>2003</v>
      </c>
      <c r="C399" s="154" t="s">
        <v>1032</v>
      </c>
      <c r="D399" s="1" t="s">
        <v>1085</v>
      </c>
      <c r="F399" s="1" t="s">
        <v>1029</v>
      </c>
      <c r="G399" s="1"/>
      <c r="H399" s="155"/>
      <c r="I399" s="155"/>
      <c r="M399" s="38" t="s">
        <v>48</v>
      </c>
      <c r="O399" s="41">
        <v>18</v>
      </c>
      <c r="Q399" s="91">
        <v>1905310</v>
      </c>
      <c r="R399" s="91"/>
      <c r="S399" s="91"/>
      <c r="T399" s="91"/>
      <c r="AI399" s="47"/>
      <c r="BS399" s="156"/>
      <c r="BT399" s="111"/>
    </row>
    <row r="400" spans="2:72" x14ac:dyDescent="0.25">
      <c r="B400" s="36">
        <v>2003</v>
      </c>
      <c r="C400" s="154" t="s">
        <v>1032</v>
      </c>
      <c r="D400" s="1" t="s">
        <v>1086</v>
      </c>
      <c r="F400" s="1" t="s">
        <v>887</v>
      </c>
      <c r="G400" s="1"/>
      <c r="H400" s="155"/>
      <c r="I400" s="155"/>
      <c r="M400" s="38" t="s">
        <v>48</v>
      </c>
      <c r="O400" s="41">
        <v>31</v>
      </c>
      <c r="Q400" s="91">
        <v>1900000</v>
      </c>
      <c r="R400" s="91"/>
      <c r="S400" s="91"/>
      <c r="T400" s="91"/>
      <c r="AI400" s="47"/>
      <c r="BS400" s="156"/>
      <c r="BT400" s="111"/>
    </row>
    <row r="401" spans="1:72" x14ac:dyDescent="0.25">
      <c r="B401" s="36">
        <v>2004</v>
      </c>
      <c r="C401" s="154" t="s">
        <v>1032</v>
      </c>
      <c r="D401" s="1" t="s">
        <v>1087</v>
      </c>
      <c r="F401" s="1" t="s">
        <v>1040</v>
      </c>
      <c r="G401" s="1"/>
      <c r="H401" s="155"/>
      <c r="I401" s="155"/>
      <c r="M401" s="38" t="s">
        <v>48</v>
      </c>
      <c r="O401" s="41">
        <v>8</v>
      </c>
      <c r="Q401" s="91">
        <v>764440</v>
      </c>
      <c r="R401" s="91"/>
      <c r="S401" s="91"/>
      <c r="T401" s="91"/>
      <c r="AI401" s="47"/>
      <c r="BS401" s="156"/>
      <c r="BT401" s="111"/>
    </row>
    <row r="402" spans="1:72" x14ac:dyDescent="0.25">
      <c r="B402" s="36">
        <v>2004</v>
      </c>
      <c r="C402" s="154" t="s">
        <v>1032</v>
      </c>
      <c r="D402" s="1" t="s">
        <v>1088</v>
      </c>
      <c r="F402" s="1" t="s">
        <v>1042</v>
      </c>
      <c r="G402" s="1"/>
      <c r="H402" s="155"/>
      <c r="I402" s="155"/>
      <c r="M402" s="38" t="s">
        <v>48</v>
      </c>
      <c r="O402" s="41">
        <v>31</v>
      </c>
      <c r="Q402" s="91">
        <v>2429740</v>
      </c>
      <c r="R402" s="91"/>
      <c r="S402" s="91"/>
      <c r="T402" s="91"/>
      <c r="AI402" s="47"/>
      <c r="BS402" s="156"/>
      <c r="BT402" s="111"/>
    </row>
    <row r="403" spans="1:72" s="158" customFormat="1" x14ac:dyDescent="0.25">
      <c r="A403" s="8"/>
      <c r="B403" s="36">
        <v>2004</v>
      </c>
      <c r="C403" s="154" t="s">
        <v>1032</v>
      </c>
      <c r="D403" s="1" t="s">
        <v>1548</v>
      </c>
      <c r="E403" s="1"/>
      <c r="F403" s="1" t="s">
        <v>1043</v>
      </c>
      <c r="G403" s="1"/>
      <c r="H403" s="155"/>
      <c r="I403" s="155"/>
      <c r="J403" s="1"/>
      <c r="K403" s="38"/>
      <c r="L403" s="36"/>
      <c r="M403" s="38" t="s">
        <v>48</v>
      </c>
      <c r="N403" s="36"/>
      <c r="O403" s="41">
        <v>8</v>
      </c>
      <c r="P403" s="36"/>
      <c r="Q403" s="91">
        <v>940000</v>
      </c>
      <c r="R403" s="91"/>
      <c r="S403" s="91"/>
      <c r="T403" s="91"/>
      <c r="U403" s="53"/>
      <c r="V403" s="45"/>
      <c r="W403" s="8"/>
      <c r="X403" s="8"/>
      <c r="Y403" s="8"/>
      <c r="Z403" s="46"/>
      <c r="AA403" s="4"/>
      <c r="AB403" s="46"/>
      <c r="AC403" s="1"/>
      <c r="AD403" s="1"/>
      <c r="AE403" s="1"/>
      <c r="AF403" s="1"/>
      <c r="AG403" s="1"/>
      <c r="AH403" s="36"/>
      <c r="AI403" s="47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56"/>
      <c r="AU403" s="36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57"/>
      <c r="BG403" s="157"/>
      <c r="BH403" s="157"/>
      <c r="BI403" s="157"/>
      <c r="BJ403" s="157"/>
      <c r="BK403" s="157"/>
      <c r="BL403" s="157"/>
      <c r="BM403" s="157"/>
      <c r="BN403" s="157"/>
      <c r="BR403" s="159"/>
      <c r="BS403" s="156"/>
      <c r="BT403" s="111"/>
    </row>
    <row r="404" spans="1:72" s="158" customFormat="1" x14ac:dyDescent="0.25">
      <c r="A404" s="8"/>
      <c r="B404" s="36">
        <v>2004</v>
      </c>
      <c r="C404" s="154" t="s">
        <v>1032</v>
      </c>
      <c r="D404" s="1" t="s">
        <v>1089</v>
      </c>
      <c r="E404" s="1"/>
      <c r="F404" s="1" t="s">
        <v>912</v>
      </c>
      <c r="G404" s="1"/>
      <c r="H404" s="155"/>
      <c r="I404" s="155"/>
      <c r="J404" s="1"/>
      <c r="K404" s="38"/>
      <c r="L404" s="36"/>
      <c r="M404" s="38" t="s">
        <v>48</v>
      </c>
      <c r="N404" s="36"/>
      <c r="O404" s="41">
        <v>32</v>
      </c>
      <c r="P404" s="36"/>
      <c r="Q404" s="91">
        <v>3500000</v>
      </c>
      <c r="R404" s="91"/>
      <c r="S404" s="91"/>
      <c r="T404" s="91"/>
      <c r="U404" s="53"/>
      <c r="V404" s="45"/>
      <c r="W404" s="8"/>
      <c r="X404" s="8"/>
      <c r="Y404" s="8"/>
      <c r="Z404" s="46"/>
      <c r="AA404" s="4"/>
      <c r="AB404" s="46"/>
      <c r="AC404" s="1"/>
      <c r="AD404" s="1"/>
      <c r="AE404" s="1"/>
      <c r="AF404" s="1"/>
      <c r="AG404" s="1"/>
      <c r="AH404" s="36"/>
      <c r="AI404" s="47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56"/>
      <c r="AU404" s="36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57"/>
      <c r="BG404" s="157"/>
      <c r="BH404" s="157"/>
      <c r="BI404" s="157"/>
      <c r="BJ404" s="157"/>
      <c r="BK404" s="157"/>
      <c r="BL404" s="157"/>
      <c r="BM404" s="157"/>
      <c r="BN404" s="157"/>
      <c r="BR404" s="159"/>
      <c r="BS404" s="156"/>
      <c r="BT404" s="111"/>
    </row>
    <row r="405" spans="1:72" x14ac:dyDescent="0.25">
      <c r="B405" s="36">
        <v>2004</v>
      </c>
      <c r="C405" s="154" t="s">
        <v>1032</v>
      </c>
      <c r="D405" s="1" t="s">
        <v>1090</v>
      </c>
      <c r="F405" s="1" t="s">
        <v>192</v>
      </c>
      <c r="G405" s="1"/>
      <c r="H405" s="155"/>
      <c r="I405" s="155"/>
      <c r="M405" s="38" t="s">
        <v>48</v>
      </c>
      <c r="O405" s="41">
        <v>51</v>
      </c>
      <c r="Q405" s="91">
        <v>3391760</v>
      </c>
      <c r="R405" s="91"/>
      <c r="S405" s="91"/>
      <c r="T405" s="91"/>
      <c r="AI405" s="47"/>
      <c r="BS405" s="156"/>
      <c r="BT405" s="111"/>
    </row>
    <row r="406" spans="1:72" x14ac:dyDescent="0.25">
      <c r="B406" s="36">
        <v>2005</v>
      </c>
      <c r="C406" s="154" t="s">
        <v>1032</v>
      </c>
      <c r="D406" s="1" t="s">
        <v>1549</v>
      </c>
      <c r="F406" s="1" t="s">
        <v>1029</v>
      </c>
      <c r="G406" s="1"/>
      <c r="H406" s="155"/>
      <c r="I406" s="155"/>
      <c r="M406" s="38"/>
      <c r="O406" s="36">
        <v>8</v>
      </c>
      <c r="Q406" s="91">
        <v>1000000</v>
      </c>
      <c r="R406" s="91"/>
      <c r="S406" s="91"/>
      <c r="T406" s="91"/>
      <c r="AI406" s="47"/>
      <c r="BS406" s="156"/>
      <c r="BT406" s="111"/>
    </row>
    <row r="407" spans="1:72" x14ac:dyDescent="0.25">
      <c r="B407" s="36">
        <v>2005</v>
      </c>
      <c r="C407" s="154" t="s">
        <v>1032</v>
      </c>
      <c r="D407" s="1" t="s">
        <v>1524</v>
      </c>
      <c r="F407" s="1" t="s">
        <v>338</v>
      </c>
      <c r="G407" s="1"/>
      <c r="H407" s="155"/>
      <c r="I407" s="155"/>
      <c r="M407" s="38"/>
      <c r="O407" s="36">
        <v>30</v>
      </c>
      <c r="Q407" s="91">
        <v>4310970</v>
      </c>
      <c r="R407" s="91"/>
      <c r="S407" s="91"/>
      <c r="T407" s="91"/>
      <c r="AI407" s="47"/>
      <c r="BS407" s="156"/>
      <c r="BT407" s="111"/>
    </row>
    <row r="408" spans="1:72" x14ac:dyDescent="0.25">
      <c r="B408" s="36">
        <v>2005</v>
      </c>
      <c r="C408" s="154" t="s">
        <v>1032</v>
      </c>
      <c r="D408" s="1" t="s">
        <v>1091</v>
      </c>
      <c r="F408" s="1" t="s">
        <v>1038</v>
      </c>
      <c r="G408" s="1"/>
      <c r="H408" s="155"/>
      <c r="I408" s="155"/>
      <c r="M408" s="38"/>
      <c r="O408" s="36" t="s">
        <v>174</v>
      </c>
      <c r="Q408" s="91">
        <v>4657250</v>
      </c>
      <c r="R408" s="91"/>
      <c r="S408" s="91"/>
      <c r="T408" s="91"/>
      <c r="AI408" s="47"/>
      <c r="BS408" s="156"/>
      <c r="BT408" s="111"/>
    </row>
    <row r="409" spans="1:72" x14ac:dyDescent="0.25">
      <c r="B409" s="36">
        <v>2005</v>
      </c>
      <c r="C409" s="154" t="s">
        <v>1032</v>
      </c>
      <c r="D409" s="1" t="s">
        <v>1092</v>
      </c>
      <c r="F409" s="1" t="s">
        <v>1042</v>
      </c>
      <c r="G409" s="1"/>
      <c r="H409" s="155"/>
      <c r="I409" s="155"/>
      <c r="M409" s="38"/>
      <c r="O409" s="36" t="s">
        <v>174</v>
      </c>
      <c r="Q409" s="91">
        <v>2429740</v>
      </c>
      <c r="R409" s="91"/>
      <c r="S409" s="91"/>
      <c r="T409" s="91"/>
      <c r="AI409" s="47"/>
      <c r="BS409" s="156"/>
      <c r="BT409" s="111"/>
    </row>
    <row r="410" spans="1:72" x14ac:dyDescent="0.25">
      <c r="B410" s="36">
        <v>2006</v>
      </c>
      <c r="C410" s="154" t="s">
        <v>1032</v>
      </c>
      <c r="D410" s="1" t="s">
        <v>1093</v>
      </c>
      <c r="F410" s="1" t="s">
        <v>1044</v>
      </c>
      <c r="G410" s="1"/>
      <c r="H410" s="155"/>
      <c r="I410" s="155"/>
      <c r="M410" s="38"/>
      <c r="O410" s="41" t="s">
        <v>174</v>
      </c>
      <c r="Q410" s="91">
        <v>0</v>
      </c>
      <c r="R410" s="91"/>
      <c r="S410" s="91"/>
      <c r="T410" s="91"/>
      <c r="AI410" s="47"/>
      <c r="BS410" s="156"/>
      <c r="BT410" s="111"/>
    </row>
    <row r="411" spans="1:72" x14ac:dyDescent="0.25">
      <c r="B411" s="36">
        <v>2006</v>
      </c>
      <c r="C411" s="154" t="s">
        <v>1032</v>
      </c>
      <c r="D411" s="1" t="s">
        <v>1094</v>
      </c>
      <c r="F411" s="1" t="s">
        <v>1038</v>
      </c>
      <c r="G411" s="1"/>
      <c r="H411" s="155"/>
      <c r="I411" s="155"/>
      <c r="M411" s="38" t="s">
        <v>174</v>
      </c>
      <c r="Q411" s="91">
        <v>0</v>
      </c>
      <c r="R411" s="91"/>
      <c r="S411" s="91"/>
      <c r="T411" s="91"/>
      <c r="AI411" s="47"/>
      <c r="BS411" s="156"/>
      <c r="BT411" s="111"/>
    </row>
    <row r="412" spans="1:72" x14ac:dyDescent="0.25">
      <c r="B412" s="36">
        <v>2006</v>
      </c>
      <c r="C412" s="154" t="s">
        <v>1032</v>
      </c>
      <c r="D412" s="1" t="s">
        <v>1095</v>
      </c>
      <c r="F412" s="1" t="s">
        <v>192</v>
      </c>
      <c r="G412" s="1"/>
      <c r="H412" s="155"/>
      <c r="I412" s="155"/>
      <c r="M412" s="38" t="s">
        <v>307</v>
      </c>
      <c r="Q412" s="91">
        <v>0</v>
      </c>
      <c r="R412" s="91"/>
      <c r="S412" s="91"/>
      <c r="T412" s="91"/>
      <c r="AI412" s="47"/>
      <c r="BS412" s="156"/>
      <c r="BT412" s="111"/>
    </row>
    <row r="413" spans="1:72" x14ac:dyDescent="0.25">
      <c r="B413" s="152">
        <v>2007</v>
      </c>
      <c r="C413" s="154" t="s">
        <v>1032</v>
      </c>
      <c r="D413" s="1" t="s">
        <v>1096</v>
      </c>
      <c r="F413" s="1" t="s">
        <v>1045</v>
      </c>
      <c r="G413" s="1"/>
      <c r="H413" s="155"/>
      <c r="I413" s="155"/>
      <c r="M413" s="38" t="s">
        <v>307</v>
      </c>
      <c r="O413" s="41">
        <v>16</v>
      </c>
      <c r="Q413" s="91">
        <v>709390</v>
      </c>
      <c r="R413" s="91"/>
      <c r="S413" s="91"/>
      <c r="T413" s="91"/>
      <c r="AI413" s="47"/>
      <c r="BS413" s="156"/>
      <c r="BT413" s="111"/>
    </row>
    <row r="414" spans="1:72" x14ac:dyDescent="0.25">
      <c r="B414" s="152">
        <v>2007</v>
      </c>
      <c r="C414" s="154" t="s">
        <v>1032</v>
      </c>
      <c r="D414" s="1" t="s">
        <v>1097</v>
      </c>
      <c r="F414" s="1" t="s">
        <v>1046</v>
      </c>
      <c r="G414" s="1"/>
      <c r="H414" s="155"/>
      <c r="I414" s="155"/>
      <c r="M414" s="38" t="s">
        <v>307</v>
      </c>
      <c r="O414" s="41">
        <v>8</v>
      </c>
      <c r="Q414" s="91">
        <v>582390</v>
      </c>
      <c r="R414" s="91"/>
      <c r="S414" s="91"/>
      <c r="T414" s="91"/>
      <c r="AI414" s="47"/>
      <c r="BS414" s="156"/>
      <c r="BT414" s="111"/>
    </row>
    <row r="415" spans="1:72" x14ac:dyDescent="0.25">
      <c r="B415" s="152">
        <v>2007</v>
      </c>
      <c r="C415" s="154" t="s">
        <v>1032</v>
      </c>
      <c r="D415" s="1" t="s">
        <v>1098</v>
      </c>
      <c r="F415" s="1" t="s">
        <v>783</v>
      </c>
      <c r="G415" s="1"/>
      <c r="H415" s="155"/>
      <c r="I415" s="155"/>
      <c r="M415" s="38" t="s">
        <v>307</v>
      </c>
      <c r="O415" s="41">
        <v>12</v>
      </c>
      <c r="Q415" s="91">
        <v>622230</v>
      </c>
      <c r="R415" s="91"/>
      <c r="S415" s="91"/>
      <c r="T415" s="91"/>
      <c r="AI415" s="47"/>
      <c r="BS415" s="156"/>
      <c r="BT415" s="111"/>
    </row>
    <row r="416" spans="1:72" x14ac:dyDescent="0.25">
      <c r="B416" s="152">
        <v>2007</v>
      </c>
      <c r="C416" s="154" t="s">
        <v>1032</v>
      </c>
      <c r="D416" s="1" t="s">
        <v>1099</v>
      </c>
      <c r="F416" s="1" t="s">
        <v>338</v>
      </c>
      <c r="G416" s="1"/>
      <c r="H416" s="155"/>
      <c r="I416" s="155"/>
      <c r="M416" s="38" t="s">
        <v>48</v>
      </c>
      <c r="O416" s="41">
        <v>36</v>
      </c>
      <c r="Q416" s="91">
        <v>5481930</v>
      </c>
      <c r="R416" s="91"/>
      <c r="S416" s="91"/>
      <c r="T416" s="91"/>
      <c r="AI416" s="47"/>
      <c r="BS416" s="156"/>
      <c r="BT416" s="111"/>
    </row>
    <row r="417" spans="2:72" ht="15.75" customHeight="1" x14ac:dyDescent="0.25">
      <c r="B417" s="152">
        <v>2007</v>
      </c>
      <c r="C417" s="154" t="s">
        <v>1032</v>
      </c>
      <c r="D417" s="1" t="s">
        <v>1100</v>
      </c>
      <c r="F417" s="1" t="s">
        <v>862</v>
      </c>
      <c r="G417" s="1"/>
      <c r="H417" s="155"/>
      <c r="I417" s="155"/>
      <c r="M417" s="38" t="s">
        <v>48</v>
      </c>
      <c r="O417" s="41">
        <v>24</v>
      </c>
      <c r="Q417" s="91">
        <v>4666300</v>
      </c>
      <c r="R417" s="91"/>
      <c r="S417" s="91"/>
      <c r="T417" s="91"/>
      <c r="AI417" s="47"/>
      <c r="BS417" s="156"/>
      <c r="BT417" s="111"/>
    </row>
    <row r="418" spans="2:72" x14ac:dyDescent="0.25">
      <c r="B418" s="152">
        <v>2007</v>
      </c>
      <c r="C418" s="154" t="s">
        <v>1032</v>
      </c>
      <c r="D418" s="1" t="s">
        <v>1906</v>
      </c>
      <c r="F418" s="1" t="s">
        <v>1031</v>
      </c>
      <c r="G418" s="1"/>
      <c r="H418" s="155"/>
      <c r="I418" s="155"/>
      <c r="M418" s="38" t="s">
        <v>48</v>
      </c>
      <c r="O418" s="41">
        <v>20</v>
      </c>
      <c r="Q418" s="91">
        <v>3639340</v>
      </c>
      <c r="R418" s="91"/>
      <c r="S418" s="91"/>
      <c r="T418" s="91"/>
      <c r="AI418" s="47"/>
      <c r="BS418" s="156"/>
      <c r="BT418" s="111"/>
    </row>
    <row r="419" spans="2:72" x14ac:dyDescent="0.25">
      <c r="B419" s="152">
        <v>2007</v>
      </c>
      <c r="C419" s="154" t="s">
        <v>1032</v>
      </c>
      <c r="D419" s="1" t="s">
        <v>1101</v>
      </c>
      <c r="F419" s="1" t="s">
        <v>192</v>
      </c>
      <c r="G419" s="1"/>
      <c r="H419" s="155"/>
      <c r="I419" s="155"/>
      <c r="M419" s="38" t="s">
        <v>48</v>
      </c>
      <c r="O419" s="41">
        <v>45</v>
      </c>
      <c r="Q419" s="91">
        <v>5680000</v>
      </c>
      <c r="R419" s="91"/>
      <c r="S419" s="91"/>
      <c r="T419" s="91"/>
      <c r="AI419" s="47"/>
      <c r="BS419" s="156"/>
      <c r="BT419" s="111"/>
    </row>
    <row r="420" spans="2:72" x14ac:dyDescent="0.25">
      <c r="B420" s="152">
        <v>2007</v>
      </c>
      <c r="C420" s="154" t="s">
        <v>1032</v>
      </c>
      <c r="D420" s="1" t="s">
        <v>1102</v>
      </c>
      <c r="F420" s="1" t="s">
        <v>60</v>
      </c>
      <c r="G420" s="1"/>
      <c r="H420" s="155"/>
      <c r="I420" s="155"/>
      <c r="M420" s="38" t="s">
        <v>48</v>
      </c>
      <c r="O420" s="41">
        <v>47</v>
      </c>
      <c r="Q420" s="91">
        <v>3684020</v>
      </c>
      <c r="R420" s="91"/>
      <c r="S420" s="91"/>
      <c r="T420" s="91"/>
      <c r="AI420" s="47"/>
      <c r="BS420" s="156"/>
      <c r="BT420" s="111"/>
    </row>
    <row r="421" spans="2:72" x14ac:dyDescent="0.25">
      <c r="B421" s="152">
        <v>2007</v>
      </c>
      <c r="C421" s="154" t="s">
        <v>1032</v>
      </c>
      <c r="D421" s="1" t="s">
        <v>1952</v>
      </c>
      <c r="F421" s="1" t="s">
        <v>912</v>
      </c>
      <c r="G421" s="1"/>
      <c r="H421" s="155"/>
      <c r="I421" s="155"/>
      <c r="M421" s="38" t="s">
        <v>48</v>
      </c>
      <c r="O421" s="41">
        <v>46</v>
      </c>
      <c r="Q421" s="91">
        <v>5687500</v>
      </c>
      <c r="R421" s="91"/>
      <c r="S421" s="91"/>
      <c r="T421" s="91"/>
      <c r="AI421" s="47"/>
      <c r="BS421" s="156"/>
      <c r="BT421" s="111"/>
    </row>
    <row r="422" spans="2:72" x14ac:dyDescent="0.25">
      <c r="B422" s="152">
        <v>2007</v>
      </c>
      <c r="C422" s="154" t="s">
        <v>1032</v>
      </c>
      <c r="D422" s="1" t="s">
        <v>1103</v>
      </c>
      <c r="F422" s="1" t="s">
        <v>1047</v>
      </c>
      <c r="G422" s="1"/>
      <c r="H422" s="155"/>
      <c r="I422" s="155"/>
      <c r="M422" s="38" t="s">
        <v>307</v>
      </c>
      <c r="O422" s="41">
        <v>32</v>
      </c>
      <c r="Q422" s="91">
        <v>2465760</v>
      </c>
      <c r="R422" s="91"/>
      <c r="S422" s="91"/>
      <c r="T422" s="91"/>
      <c r="AI422" s="47"/>
      <c r="BS422" s="156"/>
      <c r="BT422" s="111"/>
    </row>
    <row r="423" spans="2:72" x14ac:dyDescent="0.25">
      <c r="B423" s="36">
        <v>2008</v>
      </c>
      <c r="C423" s="154" t="s">
        <v>1032</v>
      </c>
      <c r="D423" s="1" t="s">
        <v>1104</v>
      </c>
      <c r="F423" s="1" t="s">
        <v>1048</v>
      </c>
      <c r="G423" s="1"/>
      <c r="H423" s="155"/>
      <c r="I423" s="155"/>
      <c r="M423" s="38" t="s">
        <v>174</v>
      </c>
      <c r="O423" s="41" t="s">
        <v>174</v>
      </c>
      <c r="Q423" s="91">
        <v>5234900</v>
      </c>
      <c r="R423" s="91"/>
      <c r="S423" s="91"/>
      <c r="T423" s="91"/>
      <c r="AI423" s="47"/>
      <c r="BS423" s="156"/>
      <c r="BT423" s="111"/>
    </row>
    <row r="424" spans="2:72" x14ac:dyDescent="0.25">
      <c r="B424" s="36">
        <v>2008</v>
      </c>
      <c r="C424" s="154" t="s">
        <v>1032</v>
      </c>
      <c r="D424" s="1" t="s">
        <v>1105</v>
      </c>
      <c r="F424" s="1" t="s">
        <v>801</v>
      </c>
      <c r="G424" s="1"/>
      <c r="H424" s="155"/>
      <c r="I424" s="155"/>
      <c r="M424" s="38" t="s">
        <v>174</v>
      </c>
      <c r="O424" s="41" t="s">
        <v>174</v>
      </c>
      <c r="Q424" s="91">
        <v>2900120</v>
      </c>
      <c r="R424" s="91"/>
      <c r="S424" s="91"/>
      <c r="T424" s="91"/>
      <c r="AI424" s="47"/>
      <c r="BS424" s="156"/>
      <c r="BT424" s="111"/>
    </row>
    <row r="425" spans="2:72" x14ac:dyDescent="0.25">
      <c r="B425" s="36">
        <v>2008</v>
      </c>
      <c r="C425" s="154" t="s">
        <v>1032</v>
      </c>
      <c r="D425" s="1" t="s">
        <v>1106</v>
      </c>
      <c r="F425" s="1" t="e">
        <v>#VALUE!</v>
      </c>
      <c r="G425" s="1"/>
      <c r="H425" s="155"/>
      <c r="I425" s="155"/>
      <c r="M425" s="38" t="s">
        <v>48</v>
      </c>
      <c r="O425" s="41" t="s">
        <v>174</v>
      </c>
      <c r="Q425" s="91">
        <v>5812500</v>
      </c>
      <c r="R425" s="91"/>
      <c r="S425" s="91"/>
      <c r="T425" s="91"/>
      <c r="AI425" s="47"/>
      <c r="BS425" s="156"/>
      <c r="BT425" s="111"/>
    </row>
    <row r="426" spans="2:72" x14ac:dyDescent="0.25">
      <c r="B426" s="36">
        <v>2009</v>
      </c>
      <c r="C426" s="154" t="s">
        <v>1032</v>
      </c>
      <c r="D426" s="1" t="s">
        <v>1107</v>
      </c>
      <c r="F426" s="1" t="s">
        <v>887</v>
      </c>
      <c r="G426" s="1"/>
      <c r="H426" s="155"/>
      <c r="I426" s="155"/>
      <c r="M426" s="38" t="s">
        <v>48</v>
      </c>
      <c r="O426" s="41" t="s">
        <v>1018</v>
      </c>
      <c r="Q426" s="91">
        <v>8835000</v>
      </c>
      <c r="R426" s="91"/>
      <c r="S426" s="91"/>
      <c r="T426" s="91"/>
      <c r="AI426" s="47"/>
      <c r="BS426" s="156"/>
      <c r="BT426" s="111"/>
    </row>
    <row r="427" spans="2:72" x14ac:dyDescent="0.25">
      <c r="B427" s="36">
        <v>2009</v>
      </c>
      <c r="C427" s="154" t="s">
        <v>1032</v>
      </c>
      <c r="D427" s="1" t="s">
        <v>754</v>
      </c>
      <c r="F427" s="1" t="s">
        <v>755</v>
      </c>
      <c r="G427" s="1"/>
      <c r="H427" s="155"/>
      <c r="I427" s="155"/>
      <c r="M427" s="38" t="s">
        <v>48</v>
      </c>
      <c r="O427" s="41">
        <v>40</v>
      </c>
      <c r="Q427" s="91">
        <v>6035710</v>
      </c>
      <c r="R427" s="91"/>
      <c r="S427" s="91"/>
      <c r="T427" s="91"/>
      <c r="AI427" s="47"/>
      <c r="BS427" s="156"/>
      <c r="BT427" s="111"/>
    </row>
    <row r="428" spans="2:72" x14ac:dyDescent="0.25">
      <c r="B428" s="36">
        <v>2010</v>
      </c>
      <c r="C428" s="154" t="s">
        <v>1032</v>
      </c>
      <c r="D428" s="1" t="s">
        <v>1108</v>
      </c>
      <c r="F428" s="1" t="s">
        <v>338</v>
      </c>
      <c r="G428" s="1"/>
      <c r="H428" s="155"/>
      <c r="I428" s="155"/>
      <c r="M428" s="40" t="s">
        <v>307</v>
      </c>
      <c r="O428" s="41">
        <v>60</v>
      </c>
      <c r="Q428" s="91">
        <v>4200000</v>
      </c>
      <c r="R428" s="91"/>
      <c r="S428" s="91"/>
      <c r="T428" s="91"/>
      <c r="AI428" s="47"/>
      <c r="BS428" s="156"/>
      <c r="BT428" s="111"/>
    </row>
    <row r="429" spans="2:72" x14ac:dyDescent="0.25">
      <c r="B429" s="36">
        <v>2011</v>
      </c>
      <c r="C429" s="154" t="s">
        <v>1032</v>
      </c>
      <c r="D429" s="1" t="s">
        <v>1109</v>
      </c>
      <c r="F429" s="1" t="s">
        <v>338</v>
      </c>
      <c r="G429" s="1"/>
      <c r="H429" s="155"/>
      <c r="I429" s="155"/>
      <c r="M429" s="40" t="s">
        <v>48</v>
      </c>
      <c r="O429" s="41">
        <v>36</v>
      </c>
      <c r="Q429" s="91">
        <v>4217523</v>
      </c>
      <c r="R429" s="91"/>
      <c r="S429" s="91"/>
      <c r="T429" s="91"/>
      <c r="AI429" s="47"/>
      <c r="BS429" s="156"/>
      <c r="BT429" s="111"/>
    </row>
    <row r="430" spans="2:72" x14ac:dyDescent="0.25">
      <c r="B430" s="36">
        <v>2011</v>
      </c>
      <c r="C430" s="154" t="s">
        <v>1032</v>
      </c>
      <c r="D430" s="1" t="s">
        <v>1110</v>
      </c>
      <c r="F430" s="1" t="s">
        <v>195</v>
      </c>
      <c r="G430" s="1"/>
      <c r="H430" s="155"/>
      <c r="I430" s="155"/>
      <c r="M430" s="38" t="s">
        <v>48</v>
      </c>
      <c r="O430" s="41">
        <v>42</v>
      </c>
      <c r="Q430" s="91">
        <v>6162500</v>
      </c>
      <c r="R430" s="91"/>
      <c r="S430" s="91"/>
      <c r="T430" s="91"/>
      <c r="AI430" s="47"/>
      <c r="BS430" s="156"/>
      <c r="BT430" s="111"/>
    </row>
    <row r="431" spans="2:72" x14ac:dyDescent="0.25">
      <c r="B431" s="36">
        <v>2011</v>
      </c>
      <c r="C431" s="154" t="s">
        <v>1032</v>
      </c>
      <c r="D431" s="1" t="s">
        <v>1111</v>
      </c>
      <c r="F431" s="1" t="s">
        <v>65</v>
      </c>
      <c r="G431" s="1"/>
      <c r="H431" s="155"/>
      <c r="I431" s="155"/>
      <c r="M431" s="38" t="s">
        <v>307</v>
      </c>
      <c r="O431" s="41">
        <v>129</v>
      </c>
      <c r="Q431" s="91">
        <v>5144160</v>
      </c>
      <c r="R431" s="91"/>
      <c r="S431" s="91"/>
      <c r="T431" s="91"/>
      <c r="AI431" s="47"/>
      <c r="BS431" s="156"/>
      <c r="BT431" s="111"/>
    </row>
    <row r="432" spans="2:72" x14ac:dyDescent="0.25">
      <c r="B432" s="36">
        <v>2011</v>
      </c>
      <c r="C432" s="154" t="s">
        <v>1032</v>
      </c>
      <c r="D432" s="1" t="s">
        <v>1112</v>
      </c>
      <c r="F432" s="1" t="s">
        <v>46</v>
      </c>
      <c r="G432" s="1"/>
      <c r="H432" s="155"/>
      <c r="I432" s="155"/>
      <c r="M432" s="38" t="s">
        <v>48</v>
      </c>
      <c r="O432" s="41">
        <v>0</v>
      </c>
      <c r="Q432" s="91">
        <v>6118540</v>
      </c>
      <c r="R432" s="91"/>
      <c r="S432" s="91"/>
      <c r="T432" s="91"/>
      <c r="AI432" s="47"/>
      <c r="BS432" s="156"/>
      <c r="BT432" s="111"/>
    </row>
    <row r="433" spans="2:72" x14ac:dyDescent="0.25">
      <c r="B433" s="36">
        <v>2012</v>
      </c>
      <c r="C433" s="154" t="s">
        <v>1032</v>
      </c>
      <c r="D433" s="1" t="s">
        <v>1113</v>
      </c>
      <c r="F433" s="1" t="s">
        <v>887</v>
      </c>
      <c r="G433" s="1"/>
      <c r="H433" s="155"/>
      <c r="I433" s="155"/>
      <c r="M433" s="38" t="s">
        <v>48</v>
      </c>
      <c r="O433" s="41">
        <v>30</v>
      </c>
      <c r="Q433" s="91">
        <v>6312500</v>
      </c>
      <c r="R433" s="91"/>
      <c r="S433" s="91"/>
      <c r="T433" s="91"/>
      <c r="AI433" s="47"/>
      <c r="BS433" s="156"/>
      <c r="BT433" s="111"/>
    </row>
    <row r="434" spans="2:72" x14ac:dyDescent="0.25">
      <c r="B434" s="36">
        <v>2012</v>
      </c>
      <c r="C434" s="154" t="s">
        <v>1032</v>
      </c>
      <c r="D434" s="1" t="s">
        <v>1114</v>
      </c>
      <c r="F434" s="1" t="s">
        <v>338</v>
      </c>
      <c r="G434" s="1"/>
      <c r="H434" s="155"/>
      <c r="I434" s="155"/>
      <c r="M434" s="38" t="s">
        <v>48</v>
      </c>
      <c r="O434" s="41">
        <v>4</v>
      </c>
      <c r="Q434" s="91">
        <v>125000</v>
      </c>
      <c r="R434" s="91"/>
      <c r="S434" s="91"/>
      <c r="T434" s="91"/>
      <c r="AI434" s="47"/>
      <c r="BS434" s="156"/>
      <c r="BT434" s="111"/>
    </row>
    <row r="435" spans="2:72" x14ac:dyDescent="0.25">
      <c r="B435" s="36">
        <v>2012</v>
      </c>
      <c r="C435" s="154" t="s">
        <v>1032</v>
      </c>
      <c r="D435" s="1" t="s">
        <v>788</v>
      </c>
      <c r="F435" s="1" t="s">
        <v>760</v>
      </c>
      <c r="G435" s="1"/>
      <c r="H435" s="155"/>
      <c r="I435" s="155"/>
      <c r="M435" s="38" t="s">
        <v>307</v>
      </c>
      <c r="O435" s="41">
        <v>52</v>
      </c>
      <c r="Q435" s="91">
        <v>5637150</v>
      </c>
      <c r="R435" s="91"/>
      <c r="S435" s="91"/>
      <c r="T435" s="91"/>
      <c r="AI435" s="47"/>
      <c r="BS435" s="156"/>
      <c r="BT435" s="111"/>
    </row>
    <row r="436" spans="2:72" x14ac:dyDescent="0.25">
      <c r="B436" s="36">
        <v>2012</v>
      </c>
      <c r="C436" s="154" t="s">
        <v>1032</v>
      </c>
      <c r="D436" s="1" t="s">
        <v>1115</v>
      </c>
      <c r="F436" s="1" t="s">
        <v>195</v>
      </c>
      <c r="G436" s="1"/>
      <c r="H436" s="155"/>
      <c r="I436" s="155"/>
      <c r="M436" s="38" t="s">
        <v>48</v>
      </c>
      <c r="O436" s="41">
        <v>40</v>
      </c>
      <c r="Q436" s="91">
        <v>6312500</v>
      </c>
      <c r="R436" s="91"/>
      <c r="S436" s="91"/>
      <c r="T436" s="91"/>
      <c r="AI436" s="47"/>
      <c r="BS436" s="156"/>
      <c r="BT436" s="111"/>
    </row>
    <row r="437" spans="2:72" x14ac:dyDescent="0.25">
      <c r="B437" s="36">
        <v>2012</v>
      </c>
      <c r="C437" s="154" t="s">
        <v>1032</v>
      </c>
      <c r="D437" s="1" t="s">
        <v>1109</v>
      </c>
      <c r="F437" s="1" t="s">
        <v>338</v>
      </c>
      <c r="G437" s="1"/>
      <c r="H437" s="155"/>
      <c r="I437" s="155"/>
      <c r="M437" s="38" t="s">
        <v>307</v>
      </c>
      <c r="O437" s="41">
        <v>36</v>
      </c>
      <c r="Q437" s="91">
        <v>5500000</v>
      </c>
      <c r="R437" s="91"/>
      <c r="S437" s="91"/>
      <c r="T437" s="91"/>
      <c r="AI437" s="47"/>
      <c r="BS437" s="156"/>
      <c r="BT437" s="111"/>
    </row>
    <row r="438" spans="2:72" x14ac:dyDescent="0.25">
      <c r="B438" s="36">
        <v>2012</v>
      </c>
      <c r="C438" s="154" t="s">
        <v>1032</v>
      </c>
      <c r="D438" s="1" t="s">
        <v>1116</v>
      </c>
      <c r="F438" s="1" t="s">
        <v>1040</v>
      </c>
      <c r="G438" s="1"/>
      <c r="H438" s="155"/>
      <c r="I438" s="155"/>
      <c r="M438" s="38" t="s">
        <v>48</v>
      </c>
      <c r="O438" s="41">
        <v>24</v>
      </c>
      <c r="Q438" s="91">
        <v>4576830</v>
      </c>
      <c r="R438" s="91"/>
      <c r="S438" s="91"/>
      <c r="T438" s="91"/>
      <c r="AI438" s="47"/>
      <c r="BS438" s="156"/>
      <c r="BT438" s="111"/>
    </row>
    <row r="439" spans="2:72" x14ac:dyDescent="0.25">
      <c r="B439" s="36">
        <v>2012</v>
      </c>
      <c r="C439" s="154" t="s">
        <v>1032</v>
      </c>
      <c r="D439" s="1" t="s">
        <v>905</v>
      </c>
      <c r="F439" s="1" t="s">
        <v>887</v>
      </c>
      <c r="G439" s="1"/>
      <c r="H439" s="155"/>
      <c r="I439" s="155"/>
      <c r="M439" s="38" t="s">
        <v>307</v>
      </c>
      <c r="O439" s="41">
        <v>40</v>
      </c>
      <c r="Q439" s="91">
        <v>6293520</v>
      </c>
      <c r="R439" s="91"/>
      <c r="S439" s="91"/>
      <c r="T439" s="91"/>
      <c r="AI439" s="47"/>
      <c r="BS439" s="156"/>
      <c r="BT439" s="111"/>
    </row>
    <row r="440" spans="2:72" x14ac:dyDescent="0.25">
      <c r="B440" s="36">
        <v>2012</v>
      </c>
      <c r="C440" s="154" t="s">
        <v>1032</v>
      </c>
      <c r="D440" s="1" t="s">
        <v>1117</v>
      </c>
      <c r="F440" s="1" t="s">
        <v>1022</v>
      </c>
      <c r="G440" s="1"/>
      <c r="H440" s="155"/>
      <c r="I440" s="155"/>
      <c r="M440" s="38" t="s">
        <v>48</v>
      </c>
      <c r="O440" s="41">
        <v>30</v>
      </c>
      <c r="Q440" s="91">
        <v>5596780</v>
      </c>
      <c r="R440" s="91"/>
      <c r="S440" s="91"/>
      <c r="T440" s="91"/>
      <c r="AI440" s="47"/>
      <c r="BS440" s="156"/>
      <c r="BT440" s="111"/>
    </row>
    <row r="441" spans="2:72" x14ac:dyDescent="0.25">
      <c r="B441" s="36">
        <v>2012</v>
      </c>
      <c r="C441" s="154" t="s">
        <v>1032</v>
      </c>
      <c r="D441" s="1" t="s">
        <v>1118</v>
      </c>
      <c r="F441" s="1" t="s">
        <v>46</v>
      </c>
      <c r="G441" s="1"/>
      <c r="H441" s="155"/>
      <c r="I441" s="155"/>
      <c r="M441" s="38" t="s">
        <v>307</v>
      </c>
      <c r="O441" s="41">
        <v>22</v>
      </c>
      <c r="Q441" s="91">
        <v>5392640</v>
      </c>
      <c r="R441" s="91"/>
      <c r="S441" s="91"/>
      <c r="T441" s="91"/>
      <c r="AI441" s="47"/>
      <c r="BS441" s="156"/>
      <c r="BT441" s="111"/>
    </row>
    <row r="442" spans="2:72" x14ac:dyDescent="0.25">
      <c r="B442" s="36">
        <v>2013</v>
      </c>
      <c r="C442" s="154" t="s">
        <v>1032</v>
      </c>
      <c r="D442" s="1" t="s">
        <v>1119</v>
      </c>
      <c r="F442" s="1" t="s">
        <v>46</v>
      </c>
      <c r="G442" s="1"/>
      <c r="H442" s="155"/>
      <c r="I442" s="155"/>
      <c r="M442" s="38" t="s">
        <v>48</v>
      </c>
      <c r="O442" s="41">
        <v>15</v>
      </c>
      <c r="Q442" s="91">
        <v>2580000</v>
      </c>
      <c r="R442" s="91"/>
      <c r="S442" s="91"/>
      <c r="T442" s="91"/>
      <c r="AI442" s="47"/>
      <c r="BS442" s="156"/>
      <c r="BT442" s="111"/>
    </row>
    <row r="443" spans="2:72" x14ac:dyDescent="0.25">
      <c r="B443" s="36">
        <v>2013</v>
      </c>
      <c r="C443" s="154" t="s">
        <v>1032</v>
      </c>
      <c r="D443" s="1" t="s">
        <v>1120</v>
      </c>
      <c r="F443" s="1" t="s">
        <v>338</v>
      </c>
      <c r="G443" s="1"/>
      <c r="H443" s="155"/>
      <c r="I443" s="155"/>
      <c r="M443" s="38" t="s">
        <v>48</v>
      </c>
      <c r="O443" s="41">
        <v>11</v>
      </c>
      <c r="Q443" s="91">
        <v>6475000</v>
      </c>
      <c r="R443" s="91"/>
      <c r="S443" s="91"/>
      <c r="T443" s="91"/>
      <c r="AI443" s="47"/>
      <c r="BS443" s="156"/>
      <c r="BT443" s="111"/>
    </row>
    <row r="444" spans="2:72" x14ac:dyDescent="0.25">
      <c r="B444" s="36">
        <v>2013</v>
      </c>
      <c r="C444" s="154" t="s">
        <v>1032</v>
      </c>
      <c r="D444" s="1" t="s">
        <v>1117</v>
      </c>
      <c r="F444" s="1" t="s">
        <v>192</v>
      </c>
      <c r="G444" s="1"/>
      <c r="H444" s="155"/>
      <c r="I444" s="155"/>
      <c r="M444" s="38" t="s">
        <v>48</v>
      </c>
      <c r="O444" s="41">
        <v>30</v>
      </c>
      <c r="Q444" s="91">
        <v>6429860</v>
      </c>
      <c r="R444" s="91"/>
      <c r="S444" s="91"/>
      <c r="T444" s="91"/>
      <c r="AI444" s="47"/>
      <c r="BS444" s="156"/>
      <c r="BT444" s="111"/>
    </row>
    <row r="445" spans="2:72" x14ac:dyDescent="0.25">
      <c r="B445" s="36">
        <v>2013</v>
      </c>
      <c r="C445" s="154" t="s">
        <v>1032</v>
      </c>
      <c r="D445" s="1" t="s">
        <v>1121</v>
      </c>
      <c r="F445" s="1" t="s">
        <v>887</v>
      </c>
      <c r="G445" s="1"/>
      <c r="H445" s="155"/>
      <c r="I445" s="155"/>
      <c r="M445" s="38" t="s">
        <v>48</v>
      </c>
      <c r="O445" s="41">
        <v>30</v>
      </c>
      <c r="Q445" s="91">
        <v>6475000</v>
      </c>
      <c r="R445" s="91"/>
      <c r="S445" s="91"/>
      <c r="T445" s="91"/>
      <c r="AI445" s="47"/>
      <c r="BS445" s="156"/>
      <c r="BT445" s="111"/>
    </row>
    <row r="446" spans="2:72" x14ac:dyDescent="0.25">
      <c r="B446" s="36">
        <v>2013</v>
      </c>
      <c r="C446" s="154" t="s">
        <v>1032</v>
      </c>
      <c r="D446" s="1" t="s">
        <v>1122</v>
      </c>
      <c r="F446" s="1" t="s">
        <v>838</v>
      </c>
      <c r="G446" s="1"/>
      <c r="H446" s="155"/>
      <c r="I446" s="155"/>
      <c r="M446" s="38" t="s">
        <v>48</v>
      </c>
      <c r="O446" s="41">
        <v>27</v>
      </c>
      <c r="Q446" s="91">
        <v>5233000</v>
      </c>
      <c r="R446" s="91"/>
      <c r="S446" s="91"/>
      <c r="T446" s="91"/>
      <c r="AI446" s="47"/>
      <c r="BS446" s="156"/>
      <c r="BT446" s="111"/>
    </row>
    <row r="447" spans="2:72" x14ac:dyDescent="0.25">
      <c r="B447" s="36">
        <v>2013</v>
      </c>
      <c r="C447" s="154" t="s">
        <v>1032</v>
      </c>
      <c r="D447" s="1" t="s">
        <v>1550</v>
      </c>
      <c r="F447" s="1" t="s">
        <v>65</v>
      </c>
      <c r="G447" s="1"/>
      <c r="H447" s="155"/>
      <c r="I447" s="155"/>
      <c r="M447" s="38" t="s">
        <v>48</v>
      </c>
      <c r="O447" s="41">
        <v>16</v>
      </c>
      <c r="Q447" s="91">
        <v>2699540</v>
      </c>
      <c r="R447" s="91"/>
      <c r="S447" s="91"/>
      <c r="T447" s="91"/>
      <c r="AI447" s="47"/>
      <c r="BS447" s="156"/>
      <c r="BT447" s="111"/>
    </row>
    <row r="448" spans="2:72" x14ac:dyDescent="0.25">
      <c r="B448" s="36">
        <v>2013</v>
      </c>
      <c r="C448" s="154" t="s">
        <v>1032</v>
      </c>
      <c r="D448" s="1" t="s">
        <v>1124</v>
      </c>
      <c r="F448" s="1" t="s">
        <v>784</v>
      </c>
      <c r="G448" s="1"/>
      <c r="H448" s="155"/>
      <c r="I448" s="155"/>
      <c r="M448" s="38" t="s">
        <v>48</v>
      </c>
      <c r="O448" s="41">
        <v>36</v>
      </c>
      <c r="Q448" s="91">
        <v>5949940</v>
      </c>
      <c r="R448" s="91"/>
      <c r="S448" s="91"/>
      <c r="T448" s="91"/>
      <c r="AI448" s="47"/>
      <c r="BS448" s="156"/>
      <c r="BT448" s="111"/>
    </row>
    <row r="449" spans="2:72" x14ac:dyDescent="0.25">
      <c r="B449" s="36">
        <v>2013</v>
      </c>
      <c r="C449" s="154" t="s">
        <v>1032</v>
      </c>
      <c r="D449" s="1" t="s">
        <v>1551</v>
      </c>
      <c r="F449" s="1" t="s">
        <v>65</v>
      </c>
      <c r="G449" s="1"/>
      <c r="H449" s="155"/>
      <c r="I449" s="155"/>
      <c r="M449" s="38" t="s">
        <v>48</v>
      </c>
      <c r="O449" s="41">
        <v>37</v>
      </c>
      <c r="Q449" s="91">
        <v>6475000</v>
      </c>
      <c r="R449" s="91"/>
      <c r="S449" s="91"/>
      <c r="T449" s="91"/>
      <c r="AI449" s="47"/>
      <c r="BS449" s="156"/>
      <c r="BT449" s="111"/>
    </row>
    <row r="450" spans="2:72" x14ac:dyDescent="0.25">
      <c r="B450" s="36">
        <v>2014</v>
      </c>
      <c r="C450" s="154" t="s">
        <v>1032</v>
      </c>
      <c r="D450" s="1" t="s">
        <v>1123</v>
      </c>
      <c r="F450" s="1" t="s">
        <v>338</v>
      </c>
      <c r="G450" s="1"/>
      <c r="H450" s="155"/>
      <c r="I450" s="155"/>
      <c r="M450" s="38" t="s">
        <v>307</v>
      </c>
      <c r="O450" s="41">
        <v>70</v>
      </c>
      <c r="Q450" s="91">
        <v>4717610</v>
      </c>
      <c r="R450" s="91"/>
      <c r="S450" s="91"/>
      <c r="T450" s="91"/>
      <c r="AI450" s="47"/>
      <c r="BS450" s="156"/>
      <c r="BT450" s="111"/>
    </row>
    <row r="451" spans="2:72" x14ac:dyDescent="0.25">
      <c r="B451" s="36">
        <v>2014</v>
      </c>
      <c r="C451" s="154" t="s">
        <v>1032</v>
      </c>
      <c r="D451" s="1" t="s">
        <v>1117</v>
      </c>
      <c r="E451" s="1" t="s">
        <v>1136</v>
      </c>
      <c r="F451" s="1" t="s">
        <v>192</v>
      </c>
      <c r="G451" s="1"/>
      <c r="H451" s="155"/>
      <c r="I451" s="155"/>
      <c r="M451" s="38" t="s">
        <v>48</v>
      </c>
      <c r="O451" s="41">
        <v>30</v>
      </c>
      <c r="Q451" s="91">
        <v>3953980</v>
      </c>
      <c r="R451" s="91"/>
      <c r="S451" s="91"/>
      <c r="T451" s="91"/>
      <c r="AI451" s="47"/>
      <c r="BS451" s="156"/>
      <c r="BT451" s="111"/>
    </row>
    <row r="452" spans="2:72" x14ac:dyDescent="0.25">
      <c r="B452" s="36">
        <v>2014</v>
      </c>
      <c r="C452" s="154" t="s">
        <v>1032</v>
      </c>
      <c r="D452" s="1" t="s">
        <v>905</v>
      </c>
      <c r="F452" s="1" t="s">
        <v>887</v>
      </c>
      <c r="G452" s="1"/>
      <c r="H452" s="155"/>
      <c r="I452" s="155"/>
      <c r="M452" s="38" t="s">
        <v>48</v>
      </c>
      <c r="O452" s="41">
        <v>36</v>
      </c>
      <c r="Q452" s="91">
        <v>5946470</v>
      </c>
      <c r="R452" s="91"/>
      <c r="S452" s="91"/>
      <c r="T452" s="91"/>
      <c r="AI452" s="47"/>
      <c r="BS452" s="156"/>
      <c r="BT452" s="111"/>
    </row>
    <row r="453" spans="2:72" x14ac:dyDescent="0.25">
      <c r="B453" s="36">
        <v>2014</v>
      </c>
      <c r="C453" s="154" t="s">
        <v>1032</v>
      </c>
      <c r="D453" s="1" t="s">
        <v>883</v>
      </c>
      <c r="F453" s="1" t="s">
        <v>195</v>
      </c>
      <c r="G453" s="1"/>
      <c r="H453" s="155"/>
      <c r="I453" s="155"/>
      <c r="M453" s="38" t="s">
        <v>48</v>
      </c>
      <c r="O453" s="41">
        <v>48</v>
      </c>
      <c r="Q453" s="91">
        <v>6475000</v>
      </c>
      <c r="R453" s="91"/>
      <c r="S453" s="91"/>
      <c r="T453" s="91"/>
      <c r="AI453" s="47"/>
      <c r="BS453" s="156"/>
      <c r="BT453" s="111"/>
    </row>
    <row r="454" spans="2:72" x14ac:dyDescent="0.25">
      <c r="B454" s="36">
        <v>2014</v>
      </c>
      <c r="C454" s="154" t="s">
        <v>1032</v>
      </c>
      <c r="D454" s="1" t="s">
        <v>881</v>
      </c>
      <c r="F454" s="1" t="s">
        <v>886</v>
      </c>
      <c r="G454" s="1"/>
      <c r="H454" s="155"/>
      <c r="I454" s="155"/>
      <c r="M454" s="38" t="s">
        <v>48</v>
      </c>
      <c r="O454" s="41">
        <v>16</v>
      </c>
      <c r="Q454" s="91">
        <v>2281560</v>
      </c>
      <c r="R454" s="91"/>
      <c r="S454" s="91"/>
      <c r="T454" s="91"/>
      <c r="AI454" s="47"/>
      <c r="BS454" s="156"/>
      <c r="BT454" s="111"/>
    </row>
    <row r="455" spans="2:72" x14ac:dyDescent="0.25">
      <c r="B455" s="36">
        <v>2014</v>
      </c>
      <c r="C455" s="154" t="s">
        <v>1032</v>
      </c>
      <c r="D455" s="1" t="s">
        <v>1109</v>
      </c>
      <c r="F455" s="1" t="s">
        <v>338</v>
      </c>
      <c r="G455" s="1"/>
      <c r="H455" s="155"/>
      <c r="I455" s="155"/>
      <c r="M455" s="38" t="s">
        <v>48</v>
      </c>
      <c r="O455" s="41">
        <v>36</v>
      </c>
      <c r="Q455" s="91">
        <v>3060100</v>
      </c>
      <c r="R455" s="91"/>
      <c r="S455" s="91"/>
      <c r="T455" s="91"/>
      <c r="AI455" s="47"/>
      <c r="BS455" s="156"/>
      <c r="BT455" s="111"/>
    </row>
    <row r="456" spans="2:72" x14ac:dyDescent="0.25">
      <c r="B456" s="36">
        <v>2014</v>
      </c>
      <c r="C456" s="154" t="s">
        <v>1032</v>
      </c>
      <c r="D456" s="1" t="s">
        <v>759</v>
      </c>
      <c r="F456" s="1" t="s">
        <v>760</v>
      </c>
      <c r="G456" s="1"/>
      <c r="H456" s="155"/>
      <c r="I456" s="155"/>
      <c r="M456" s="38" t="s">
        <v>48</v>
      </c>
      <c r="O456" s="41">
        <v>24</v>
      </c>
      <c r="Q456" s="91">
        <v>3751490</v>
      </c>
      <c r="R456" s="91"/>
      <c r="S456" s="91"/>
      <c r="T456" s="91"/>
      <c r="AI456" s="47"/>
      <c r="BS456" s="156"/>
      <c r="BT456" s="111"/>
    </row>
    <row r="457" spans="2:72" x14ac:dyDescent="0.25">
      <c r="B457" s="36">
        <v>2014</v>
      </c>
      <c r="C457" s="154" t="s">
        <v>1032</v>
      </c>
      <c r="D457" s="1" t="s">
        <v>1137</v>
      </c>
      <c r="F457" s="1" t="s">
        <v>46</v>
      </c>
      <c r="G457" s="1"/>
      <c r="H457" s="155"/>
      <c r="I457" s="155"/>
      <c r="M457" s="38" t="s">
        <v>48</v>
      </c>
      <c r="O457" s="41">
        <v>15</v>
      </c>
      <c r="Q457" s="91">
        <v>1892250</v>
      </c>
      <c r="R457" s="91"/>
      <c r="S457" s="91"/>
      <c r="T457" s="91"/>
      <c r="AI457" s="47"/>
      <c r="BS457" s="156"/>
      <c r="BT457" s="111"/>
    </row>
    <row r="458" spans="2:72" ht="15.6" x14ac:dyDescent="0.3">
      <c r="B458" s="36">
        <v>2015</v>
      </c>
      <c r="C458" s="154" t="s">
        <v>1032</v>
      </c>
      <c r="D458" s="1" t="s">
        <v>1025</v>
      </c>
      <c r="F458" s="1" t="s">
        <v>1026</v>
      </c>
      <c r="G458" s="1"/>
      <c r="H458" s="155"/>
      <c r="I458" s="155"/>
      <c r="M458" s="160"/>
      <c r="O458" s="41">
        <v>30</v>
      </c>
      <c r="Q458" s="91">
        <v>6100000</v>
      </c>
      <c r="R458" s="91"/>
      <c r="S458" s="91"/>
      <c r="T458" s="91"/>
      <c r="AI458" s="47"/>
      <c r="BS458" s="156"/>
      <c r="BT458" s="111"/>
    </row>
    <row r="459" spans="2:72" ht="15.75" customHeight="1" x14ac:dyDescent="0.25">
      <c r="B459" s="36">
        <v>2015</v>
      </c>
      <c r="C459" s="154" t="s">
        <v>1032</v>
      </c>
      <c r="D459" s="1" t="s">
        <v>1138</v>
      </c>
      <c r="F459" s="1" t="s">
        <v>910</v>
      </c>
      <c r="G459" s="1"/>
      <c r="H459" s="155"/>
      <c r="I459" s="155"/>
      <c r="M459" s="38" t="s">
        <v>307</v>
      </c>
      <c r="O459" s="41">
        <v>24</v>
      </c>
      <c r="Q459" s="91">
        <v>1700000</v>
      </c>
      <c r="R459" s="91"/>
      <c r="S459" s="91"/>
      <c r="T459" s="91"/>
      <c r="AI459" s="47"/>
      <c r="BS459" s="156"/>
      <c r="BT459" s="111"/>
    </row>
    <row r="460" spans="2:72" x14ac:dyDescent="0.25">
      <c r="B460" s="36">
        <v>2015</v>
      </c>
      <c r="C460" s="154" t="s">
        <v>1032</v>
      </c>
      <c r="D460" s="1" t="s">
        <v>1139</v>
      </c>
      <c r="F460" s="1" t="s">
        <v>1140</v>
      </c>
      <c r="G460" s="1"/>
      <c r="H460" s="155"/>
      <c r="I460" s="155"/>
      <c r="M460" s="38" t="s">
        <v>307</v>
      </c>
      <c r="O460" s="41">
        <v>32</v>
      </c>
      <c r="Q460" s="91">
        <v>2590000</v>
      </c>
      <c r="R460" s="91"/>
      <c r="S460" s="91"/>
      <c r="T460" s="91"/>
      <c r="AI460" s="47"/>
      <c r="BS460" s="156"/>
      <c r="BT460" s="111"/>
    </row>
    <row r="461" spans="2:72" x14ac:dyDescent="0.25">
      <c r="B461" s="36">
        <v>2015</v>
      </c>
      <c r="C461" s="154" t="s">
        <v>1032</v>
      </c>
      <c r="D461" s="1" t="s">
        <v>986</v>
      </c>
      <c r="F461" s="1" t="s">
        <v>912</v>
      </c>
      <c r="G461" s="1"/>
      <c r="H461" s="155"/>
      <c r="I461" s="155"/>
      <c r="M461" s="38" t="s">
        <v>307</v>
      </c>
      <c r="O461" s="41">
        <v>34</v>
      </c>
      <c r="Q461" s="91">
        <v>2560000</v>
      </c>
      <c r="R461" s="91"/>
      <c r="S461" s="91"/>
      <c r="T461" s="91"/>
      <c r="AI461" s="47"/>
      <c r="BS461" s="156"/>
      <c r="BT461" s="111"/>
    </row>
    <row r="462" spans="2:72" x14ac:dyDescent="0.25">
      <c r="B462" s="36">
        <v>2015</v>
      </c>
      <c r="C462" s="154" t="s">
        <v>1032</v>
      </c>
      <c r="D462" s="1" t="s">
        <v>1141</v>
      </c>
      <c r="F462" s="1" t="s">
        <v>46</v>
      </c>
      <c r="G462" s="1"/>
      <c r="H462" s="155"/>
      <c r="I462" s="155"/>
      <c r="M462" s="38" t="s">
        <v>48</v>
      </c>
      <c r="O462" s="41">
        <v>40</v>
      </c>
      <c r="Q462" s="91">
        <v>5599130</v>
      </c>
      <c r="R462" s="91"/>
      <c r="S462" s="91"/>
      <c r="T462" s="91"/>
      <c r="AI462" s="47"/>
      <c r="BS462" s="156"/>
      <c r="BT462" s="111"/>
    </row>
    <row r="463" spans="2:72" x14ac:dyDescent="0.25">
      <c r="B463" s="36">
        <v>2015</v>
      </c>
      <c r="C463" s="154" t="s">
        <v>1032</v>
      </c>
      <c r="D463" s="1" t="s">
        <v>1142</v>
      </c>
      <c r="F463" s="1" t="s">
        <v>920</v>
      </c>
      <c r="G463" s="1"/>
      <c r="H463" s="155"/>
      <c r="I463" s="155"/>
      <c r="M463" s="38" t="s">
        <v>48</v>
      </c>
      <c r="O463" s="41">
        <v>32</v>
      </c>
      <c r="Q463" s="91">
        <v>5465180</v>
      </c>
      <c r="R463" s="91"/>
      <c r="S463" s="91"/>
      <c r="T463" s="91"/>
      <c r="AI463" s="47"/>
      <c r="BS463" s="156"/>
      <c r="BT463" s="111"/>
    </row>
    <row r="464" spans="2:72" ht="15" customHeight="1" x14ac:dyDescent="0.25">
      <c r="B464" s="36">
        <v>2015</v>
      </c>
      <c r="C464" s="154" t="s">
        <v>1032</v>
      </c>
      <c r="D464" s="1" t="s">
        <v>906</v>
      </c>
      <c r="F464" s="1" t="s">
        <v>192</v>
      </c>
      <c r="G464" s="1"/>
      <c r="H464" s="155"/>
      <c r="I464" s="155"/>
      <c r="M464" s="38" t="s">
        <v>48</v>
      </c>
      <c r="O464" s="41">
        <v>30</v>
      </c>
      <c r="Q464" s="91">
        <v>3953980</v>
      </c>
      <c r="R464" s="91"/>
      <c r="S464" s="91"/>
      <c r="T464" s="91"/>
      <c r="AI464" s="47"/>
      <c r="BS464" s="156"/>
      <c r="BT464" s="111"/>
    </row>
    <row r="465" spans="2:72" x14ac:dyDescent="0.25">
      <c r="B465" s="36">
        <v>2015</v>
      </c>
      <c r="C465" s="154" t="s">
        <v>1032</v>
      </c>
      <c r="D465" s="1" t="s">
        <v>1143</v>
      </c>
      <c r="F465" s="1" t="s">
        <v>192</v>
      </c>
      <c r="G465" s="1"/>
      <c r="H465" s="155"/>
      <c r="I465" s="155"/>
      <c r="M465" s="38" t="s">
        <v>302</v>
      </c>
      <c r="O465" s="41">
        <v>20</v>
      </c>
      <c r="Q465" s="91">
        <v>3500000</v>
      </c>
      <c r="R465" s="91"/>
      <c r="S465" s="91"/>
      <c r="T465" s="91"/>
      <c r="AI465" s="47"/>
      <c r="BS465" s="156"/>
      <c r="BT465" s="111"/>
    </row>
    <row r="466" spans="2:72" x14ac:dyDescent="0.25">
      <c r="B466" s="36">
        <v>2015</v>
      </c>
      <c r="C466" s="154" t="s">
        <v>1032</v>
      </c>
      <c r="D466" s="1" t="s">
        <v>1144</v>
      </c>
      <c r="F466" s="1" t="s">
        <v>195</v>
      </c>
      <c r="G466" s="1"/>
      <c r="H466" s="155"/>
      <c r="I466" s="155"/>
      <c r="M466" s="38" t="s">
        <v>48</v>
      </c>
      <c r="O466" s="41">
        <v>26</v>
      </c>
      <c r="Q466" s="91">
        <v>3500000</v>
      </c>
      <c r="R466" s="91"/>
      <c r="S466" s="91"/>
      <c r="T466" s="91"/>
      <c r="AI466" s="47"/>
      <c r="BS466" s="156"/>
      <c r="BT466" s="111"/>
    </row>
    <row r="467" spans="2:72" ht="15" customHeight="1" x14ac:dyDescent="0.3">
      <c r="B467" s="36">
        <v>2016</v>
      </c>
      <c r="C467" s="154" t="s">
        <v>1032</v>
      </c>
      <c r="D467" s="1" t="s">
        <v>1020</v>
      </c>
      <c r="F467" s="1" t="s">
        <v>1021</v>
      </c>
      <c r="G467" s="1"/>
      <c r="H467" s="155"/>
      <c r="I467" s="155"/>
      <c r="M467" s="160" t="s">
        <v>48</v>
      </c>
      <c r="O467" s="41">
        <v>24</v>
      </c>
      <c r="Q467" s="91">
        <v>2680000</v>
      </c>
      <c r="R467" s="110"/>
      <c r="S467" s="110"/>
      <c r="T467" s="110"/>
      <c r="U467" s="109"/>
      <c r="V467" s="110"/>
      <c r="AI467" s="47"/>
      <c r="BS467" s="162"/>
      <c r="BT467" s="161"/>
    </row>
    <row r="468" spans="2:72" ht="15.6" x14ac:dyDescent="0.3">
      <c r="B468" s="36">
        <v>2016</v>
      </c>
      <c r="C468" s="154" t="s">
        <v>1032</v>
      </c>
      <c r="D468" s="1" t="s">
        <v>916</v>
      </c>
      <c r="F468" s="1" t="s">
        <v>1022</v>
      </c>
      <c r="G468" s="1"/>
      <c r="H468" s="155"/>
      <c r="I468" s="155"/>
      <c r="M468" s="160" t="s">
        <v>48</v>
      </c>
      <c r="O468" s="41">
        <v>27</v>
      </c>
      <c r="Q468" s="91">
        <v>4157760</v>
      </c>
      <c r="R468" s="110"/>
      <c r="S468" s="110"/>
      <c r="T468" s="110"/>
      <c r="U468" s="109"/>
      <c r="V468" s="110"/>
      <c r="AI468" s="47"/>
      <c r="BS468" s="162"/>
      <c r="BT468" s="161"/>
    </row>
    <row r="469" spans="2:72" ht="15.6" x14ac:dyDescent="0.3">
      <c r="B469" s="36">
        <v>2016</v>
      </c>
      <c r="C469" s="154" t="s">
        <v>1032</v>
      </c>
      <c r="D469" s="1" t="s">
        <v>1023</v>
      </c>
      <c r="F469" s="1" t="s">
        <v>195</v>
      </c>
      <c r="G469" s="1"/>
      <c r="H469" s="155"/>
      <c r="I469" s="155"/>
      <c r="M469" s="160" t="s">
        <v>48</v>
      </c>
      <c r="O469" s="41">
        <v>42</v>
      </c>
      <c r="Q469" s="91">
        <v>6587500</v>
      </c>
      <c r="R469" s="110"/>
      <c r="S469" s="110"/>
      <c r="T469" s="110"/>
      <c r="U469" s="109"/>
      <c r="V469" s="110"/>
      <c r="AI469" s="47"/>
      <c r="BS469" s="162"/>
      <c r="BT469" s="161"/>
    </row>
    <row r="470" spans="2:72" ht="15.6" x14ac:dyDescent="0.3">
      <c r="B470" s="36">
        <v>2016</v>
      </c>
      <c r="C470" s="154" t="s">
        <v>1032</v>
      </c>
      <c r="D470" s="1" t="s">
        <v>1538</v>
      </c>
      <c r="F470" s="1" t="s">
        <v>133</v>
      </c>
      <c r="G470" s="1"/>
      <c r="H470" s="155"/>
      <c r="I470" s="155"/>
      <c r="M470" s="160" t="s">
        <v>48</v>
      </c>
      <c r="O470" s="41">
        <v>30</v>
      </c>
      <c r="Q470" s="91">
        <v>6623400</v>
      </c>
      <c r="R470" s="110"/>
      <c r="S470" s="110"/>
      <c r="T470" s="110"/>
      <c r="U470" s="109"/>
      <c r="V470" s="110"/>
      <c r="AI470" s="47"/>
      <c r="BS470" s="162"/>
      <c r="BT470" s="161"/>
    </row>
    <row r="471" spans="2:72" ht="15.6" x14ac:dyDescent="0.3">
      <c r="B471" s="36">
        <v>2016</v>
      </c>
      <c r="C471" s="154" t="s">
        <v>1032</v>
      </c>
      <c r="D471" s="1" t="s">
        <v>1552</v>
      </c>
      <c r="F471" s="1" t="s">
        <v>60</v>
      </c>
      <c r="G471" s="1"/>
      <c r="H471" s="155"/>
      <c r="I471" s="155"/>
      <c r="M471" s="160" t="s">
        <v>48</v>
      </c>
      <c r="O471" s="41">
        <v>32</v>
      </c>
      <c r="Q471" s="91">
        <v>5185610</v>
      </c>
      <c r="R471" s="110"/>
      <c r="S471" s="110"/>
      <c r="T471" s="110"/>
      <c r="U471" s="109"/>
      <c r="V471" s="110"/>
      <c r="AI471" s="47"/>
      <c r="BS471" s="162"/>
      <c r="BT471" s="161"/>
    </row>
    <row r="472" spans="2:72" ht="15.6" x14ac:dyDescent="0.3">
      <c r="B472" s="36">
        <v>2016</v>
      </c>
      <c r="C472" s="154" t="s">
        <v>1032</v>
      </c>
      <c r="D472" s="1" t="s">
        <v>1024</v>
      </c>
      <c r="F472" s="1" t="s">
        <v>46</v>
      </c>
      <c r="G472" s="1"/>
      <c r="H472" s="155"/>
      <c r="I472" s="155"/>
      <c r="M472" s="160" t="s">
        <v>48</v>
      </c>
      <c r="O472" s="41">
        <v>40</v>
      </c>
      <c r="Q472" s="91">
        <v>6700000</v>
      </c>
      <c r="R472" s="110"/>
      <c r="S472" s="110"/>
      <c r="T472" s="110"/>
      <c r="U472" s="109"/>
      <c r="V472" s="110"/>
      <c r="AI472" s="47"/>
      <c r="BS472" s="162"/>
      <c r="BT472" s="161"/>
    </row>
    <row r="473" spans="2:72" ht="15.6" x14ac:dyDescent="0.3">
      <c r="B473" s="36">
        <v>2016</v>
      </c>
      <c r="C473" s="154" t="s">
        <v>1032</v>
      </c>
      <c r="D473" s="1" t="s">
        <v>988</v>
      </c>
      <c r="F473" s="1" t="s">
        <v>47</v>
      </c>
      <c r="G473" s="1"/>
      <c r="H473" s="155"/>
      <c r="I473" s="155"/>
      <c r="M473" s="160" t="s">
        <v>307</v>
      </c>
      <c r="O473" s="41">
        <v>35</v>
      </c>
      <c r="Q473" s="91">
        <v>3533810</v>
      </c>
      <c r="R473" s="110"/>
      <c r="S473" s="110"/>
      <c r="T473" s="110"/>
      <c r="U473" s="109"/>
      <c r="V473" s="110"/>
      <c r="AI473" s="47"/>
      <c r="BS473" s="162"/>
      <c r="BT473" s="161"/>
    </row>
    <row r="474" spans="2:72" ht="15.6" x14ac:dyDescent="0.3">
      <c r="B474" s="36">
        <v>2016</v>
      </c>
      <c r="C474" s="154" t="s">
        <v>1032</v>
      </c>
      <c r="D474" s="1" t="s">
        <v>1025</v>
      </c>
      <c r="F474" s="1" t="s">
        <v>1026</v>
      </c>
      <c r="G474" s="1"/>
      <c r="H474" s="155"/>
      <c r="I474" s="155"/>
      <c r="M474" s="160" t="s">
        <v>48</v>
      </c>
      <c r="O474" s="41">
        <v>24</v>
      </c>
      <c r="Q474" s="91">
        <v>4450000</v>
      </c>
      <c r="R474" s="110"/>
      <c r="S474" s="110"/>
      <c r="T474" s="110"/>
      <c r="U474" s="109"/>
      <c r="V474" s="110"/>
      <c r="AI474" s="47"/>
      <c r="BS474" s="162"/>
      <c r="BT474" s="161"/>
    </row>
    <row r="475" spans="2:72" ht="15.6" x14ac:dyDescent="0.3">
      <c r="B475" s="36">
        <v>2016</v>
      </c>
      <c r="C475" s="154" t="s">
        <v>1032</v>
      </c>
      <c r="D475" s="1" t="s">
        <v>1027</v>
      </c>
      <c r="F475" s="1" t="s">
        <v>920</v>
      </c>
      <c r="G475" s="1"/>
      <c r="H475" s="155"/>
      <c r="I475" s="155"/>
      <c r="M475" s="160" t="s">
        <v>48</v>
      </c>
      <c r="O475" s="41">
        <v>40</v>
      </c>
      <c r="Q475" s="91">
        <v>6150000</v>
      </c>
      <c r="R475" s="110"/>
      <c r="S475" s="110"/>
      <c r="T475" s="110"/>
      <c r="U475" s="109"/>
      <c r="V475" s="110"/>
      <c r="AI475" s="47"/>
      <c r="BS475" s="162"/>
      <c r="BT475" s="161"/>
    </row>
    <row r="476" spans="2:72" ht="15.6" x14ac:dyDescent="0.3">
      <c r="B476" s="36">
        <v>2016</v>
      </c>
      <c r="C476" s="154" t="s">
        <v>1032</v>
      </c>
      <c r="D476" s="1" t="s">
        <v>1028</v>
      </c>
      <c r="F476" s="1" t="s">
        <v>1029</v>
      </c>
      <c r="G476" s="1"/>
      <c r="H476" s="155"/>
      <c r="I476" s="155"/>
      <c r="M476" s="160" t="s">
        <v>48</v>
      </c>
      <c r="O476" s="41">
        <v>16</v>
      </c>
      <c r="Q476" s="91">
        <v>3315820</v>
      </c>
      <c r="R476" s="110"/>
      <c r="S476" s="110"/>
      <c r="T476" s="110"/>
      <c r="U476" s="109"/>
      <c r="V476" s="110"/>
      <c r="AI476" s="47"/>
      <c r="BS476" s="162"/>
      <c r="BT476" s="161"/>
    </row>
    <row r="477" spans="2:72" ht="15.6" x14ac:dyDescent="0.3">
      <c r="B477" s="36">
        <v>2016</v>
      </c>
      <c r="C477" s="154" t="s">
        <v>1032</v>
      </c>
      <c r="D477" s="1" t="s">
        <v>1030</v>
      </c>
      <c r="F477" s="1" t="s">
        <v>1031</v>
      </c>
      <c r="G477" s="1"/>
      <c r="H477" s="155"/>
      <c r="I477" s="155"/>
      <c r="M477" s="160" t="s">
        <v>48</v>
      </c>
      <c r="O477" s="41">
        <v>36</v>
      </c>
      <c r="Q477" s="91">
        <v>6700000</v>
      </c>
      <c r="R477" s="110"/>
      <c r="S477" s="110"/>
      <c r="T477" s="110"/>
      <c r="U477" s="109"/>
      <c r="V477" s="110"/>
      <c r="AI477" s="47"/>
      <c r="BS477" s="162"/>
      <c r="BT477" s="161"/>
    </row>
    <row r="478" spans="2:72" ht="15.6" x14ac:dyDescent="0.3">
      <c r="B478" s="36">
        <v>2016</v>
      </c>
      <c r="C478" s="154" t="s">
        <v>1032</v>
      </c>
      <c r="D478" s="1" t="s">
        <v>1147</v>
      </c>
      <c r="F478" s="1" t="s">
        <v>46</v>
      </c>
      <c r="M478" s="160" t="s">
        <v>307</v>
      </c>
      <c r="O478" s="41">
        <v>32</v>
      </c>
      <c r="Q478" s="91">
        <v>3829270</v>
      </c>
      <c r="AI478" s="47"/>
    </row>
    <row r="479" spans="2:72" ht="15.75" customHeight="1" x14ac:dyDescent="0.3">
      <c r="B479" s="36">
        <v>2016</v>
      </c>
      <c r="C479" s="154" t="s">
        <v>1032</v>
      </c>
      <c r="D479" s="1" t="s">
        <v>1019</v>
      </c>
      <c r="F479" s="1" t="s">
        <v>338</v>
      </c>
      <c r="G479" s="1"/>
      <c r="H479" s="155"/>
      <c r="I479" s="155"/>
      <c r="M479" s="160" t="s">
        <v>48</v>
      </c>
      <c r="O479" s="41">
        <v>26</v>
      </c>
      <c r="Q479" s="91">
        <v>3306100</v>
      </c>
      <c r="R479" s="91"/>
      <c r="S479" s="91"/>
      <c r="T479" s="91"/>
      <c r="AI479" s="47"/>
      <c r="BS479" s="162"/>
      <c r="BT479" s="161"/>
    </row>
    <row r="480" spans="2:72" ht="15.6" x14ac:dyDescent="0.3">
      <c r="B480" s="36">
        <v>2016</v>
      </c>
      <c r="C480" s="154" t="s">
        <v>1032</v>
      </c>
      <c r="D480" s="1" t="s">
        <v>1145</v>
      </c>
      <c r="F480" s="1" t="s">
        <v>912</v>
      </c>
      <c r="G480" s="1"/>
      <c r="H480" s="155"/>
      <c r="I480" s="155"/>
      <c r="M480" s="160" t="s">
        <v>48</v>
      </c>
      <c r="O480" s="41">
        <v>15</v>
      </c>
      <c r="Q480" s="91">
        <v>2600000</v>
      </c>
      <c r="R480" s="110"/>
      <c r="S480" s="110"/>
      <c r="T480" s="110"/>
      <c r="U480" s="109"/>
      <c r="V480" s="110"/>
      <c r="AI480" s="47"/>
      <c r="BS480" s="164"/>
      <c r="BT480" s="163"/>
    </row>
    <row r="481" spans="2:35" ht="15.6" x14ac:dyDescent="0.3">
      <c r="B481" s="36">
        <v>2016</v>
      </c>
      <c r="C481" s="154" t="s">
        <v>1032</v>
      </c>
      <c r="D481" s="1" t="s">
        <v>1146</v>
      </c>
      <c r="F481" s="1" t="s">
        <v>1044</v>
      </c>
      <c r="M481" s="160" t="s">
        <v>48</v>
      </c>
      <c r="O481" s="41">
        <v>16</v>
      </c>
      <c r="Q481" s="91">
        <v>2589480</v>
      </c>
      <c r="R481" s="38"/>
      <c r="S481" s="38"/>
      <c r="T481" s="38"/>
      <c r="U481" s="165"/>
      <c r="V481" s="166"/>
      <c r="AI481" s="47"/>
    </row>
    <row r="482" spans="2:35" ht="15.75" customHeight="1" x14ac:dyDescent="0.3">
      <c r="B482" s="36">
        <v>2016</v>
      </c>
      <c r="C482" s="154" t="s">
        <v>1032</v>
      </c>
      <c r="D482" s="1" t="s">
        <v>1148</v>
      </c>
      <c r="F482" s="1" t="s">
        <v>338</v>
      </c>
      <c r="M482" s="160" t="s">
        <v>48</v>
      </c>
      <c r="O482" s="41">
        <v>61</v>
      </c>
      <c r="Q482" s="91">
        <v>6700000</v>
      </c>
      <c r="AI482" s="47"/>
    </row>
    <row r="483" spans="2:35" ht="15.75" customHeight="1" x14ac:dyDescent="0.3">
      <c r="B483" s="36">
        <v>2016</v>
      </c>
      <c r="C483" s="154" t="s">
        <v>1032</v>
      </c>
      <c r="D483" s="1" t="s">
        <v>888</v>
      </c>
      <c r="F483" s="1" t="s">
        <v>338</v>
      </c>
      <c r="M483" s="160" t="s">
        <v>48</v>
      </c>
      <c r="O483" s="41">
        <v>70</v>
      </c>
      <c r="Q483" s="91">
        <v>954210</v>
      </c>
      <c r="AI483" s="47"/>
    </row>
    <row r="484" spans="2:35" ht="15.75" customHeight="1" x14ac:dyDescent="0.3">
      <c r="B484" s="36">
        <v>2016</v>
      </c>
      <c r="C484" s="154" t="s">
        <v>1032</v>
      </c>
      <c r="D484" s="1" t="s">
        <v>1143</v>
      </c>
      <c r="F484" s="1" t="s">
        <v>1022</v>
      </c>
      <c r="M484" s="160" t="s">
        <v>302</v>
      </c>
      <c r="O484" s="41">
        <v>20</v>
      </c>
      <c r="Q484" s="91">
        <v>3500000</v>
      </c>
      <c r="AI484" s="47"/>
    </row>
    <row r="485" spans="2:35" ht="15.75" customHeight="1" x14ac:dyDescent="0.3">
      <c r="B485" s="36">
        <v>2017</v>
      </c>
      <c r="C485" s="154" t="s">
        <v>1032</v>
      </c>
      <c r="D485" s="1" t="s">
        <v>1553</v>
      </c>
      <c r="F485" s="1" t="s">
        <v>989</v>
      </c>
      <c r="J485" s="1" t="s">
        <v>412</v>
      </c>
      <c r="L485" s="36" t="s">
        <v>426</v>
      </c>
      <c r="M485" s="160"/>
      <c r="N485" s="36" t="s">
        <v>45</v>
      </c>
      <c r="O485" s="41">
        <v>32</v>
      </c>
      <c r="Q485" s="91">
        <v>5840000</v>
      </c>
      <c r="AI485" s="47"/>
    </row>
    <row r="486" spans="2:35" ht="15.75" customHeight="1" x14ac:dyDescent="0.3">
      <c r="B486" s="36">
        <v>2017</v>
      </c>
      <c r="C486" s="154" t="s">
        <v>1032</v>
      </c>
      <c r="D486" s="1" t="s">
        <v>1554</v>
      </c>
      <c r="F486" s="1" t="s">
        <v>60</v>
      </c>
      <c r="J486" s="1" t="s">
        <v>437</v>
      </c>
      <c r="L486" s="36" t="s">
        <v>426</v>
      </c>
      <c r="M486" s="160"/>
      <c r="N486" s="36" t="s">
        <v>45</v>
      </c>
      <c r="O486" s="41">
        <v>32</v>
      </c>
      <c r="Q486" s="91">
        <v>4667180</v>
      </c>
      <c r="AI486" s="47"/>
    </row>
    <row r="487" spans="2:35" ht="15.75" customHeight="1" x14ac:dyDescent="0.3">
      <c r="B487" s="36">
        <v>2017</v>
      </c>
      <c r="C487" s="154" t="s">
        <v>1032</v>
      </c>
      <c r="D487" s="1" t="s">
        <v>1149</v>
      </c>
      <c r="F487" s="1" t="s">
        <v>1150</v>
      </c>
      <c r="J487" s="1" t="s">
        <v>1151</v>
      </c>
      <c r="L487" s="36" t="s">
        <v>426</v>
      </c>
      <c r="M487" s="160"/>
      <c r="N487" s="36" t="s">
        <v>1152</v>
      </c>
      <c r="O487" s="41">
        <v>35</v>
      </c>
      <c r="Q487" s="91">
        <v>3506510</v>
      </c>
      <c r="AI487" s="47"/>
    </row>
    <row r="488" spans="2:35" ht="15.75" customHeight="1" x14ac:dyDescent="0.3">
      <c r="B488" s="36">
        <v>2017</v>
      </c>
      <c r="C488" s="154" t="s">
        <v>1032</v>
      </c>
      <c r="D488" s="1" t="s">
        <v>1020</v>
      </c>
      <c r="F488" s="1" t="s">
        <v>1021</v>
      </c>
      <c r="J488" s="1" t="s">
        <v>318</v>
      </c>
      <c r="L488" s="36" t="s">
        <v>426</v>
      </c>
      <c r="M488" s="160"/>
      <c r="N488" s="36" t="s">
        <v>45</v>
      </c>
      <c r="O488" s="41">
        <v>20</v>
      </c>
      <c r="Q488" s="91">
        <v>2600000</v>
      </c>
      <c r="AI488" s="47"/>
    </row>
    <row r="489" spans="2:35" ht="15.75" customHeight="1" x14ac:dyDescent="0.3">
      <c r="B489" s="36">
        <v>2017</v>
      </c>
      <c r="C489" s="154" t="s">
        <v>1032</v>
      </c>
      <c r="D489" s="1" t="s">
        <v>1153</v>
      </c>
      <c r="F489" s="1" t="s">
        <v>795</v>
      </c>
      <c r="J489" s="1" t="s">
        <v>361</v>
      </c>
      <c r="L489" s="36" t="s">
        <v>1154</v>
      </c>
      <c r="M489" s="160"/>
      <c r="N489" s="36" t="s">
        <v>1152</v>
      </c>
      <c r="O489" s="41">
        <v>19</v>
      </c>
      <c r="Q489" s="91">
        <v>2680000</v>
      </c>
      <c r="AI489" s="47"/>
    </row>
    <row r="490" spans="2:35" ht="15.75" customHeight="1" x14ac:dyDescent="0.3">
      <c r="B490" s="36">
        <v>2017</v>
      </c>
      <c r="C490" s="154" t="s">
        <v>1032</v>
      </c>
      <c r="D490" s="1" t="s">
        <v>1155</v>
      </c>
      <c r="F490" s="1" t="s">
        <v>1029</v>
      </c>
      <c r="J490" s="1" t="s">
        <v>356</v>
      </c>
      <c r="L490" s="36" t="s">
        <v>426</v>
      </c>
      <c r="M490" s="160"/>
      <c r="N490" s="36" t="s">
        <v>1152</v>
      </c>
      <c r="O490" s="41">
        <v>16</v>
      </c>
      <c r="Q490" s="91">
        <v>3510000</v>
      </c>
      <c r="AI490" s="47"/>
    </row>
    <row r="491" spans="2:35" ht="15.75" customHeight="1" x14ac:dyDescent="0.3">
      <c r="B491" s="36">
        <v>2017</v>
      </c>
      <c r="C491" s="154" t="s">
        <v>1032</v>
      </c>
      <c r="D491" s="1" t="s">
        <v>1156</v>
      </c>
      <c r="F491" s="1" t="s">
        <v>338</v>
      </c>
      <c r="J491" s="1" t="s">
        <v>338</v>
      </c>
      <c r="L491" s="36" t="s">
        <v>1154</v>
      </c>
      <c r="M491" s="160"/>
      <c r="N491" s="36" t="s">
        <v>1152</v>
      </c>
      <c r="O491" s="41">
        <v>54</v>
      </c>
      <c r="Q491" s="91">
        <v>6500000</v>
      </c>
      <c r="AI491" s="47"/>
    </row>
    <row r="492" spans="2:35" ht="15.75" customHeight="1" x14ac:dyDescent="0.3">
      <c r="B492" s="36">
        <v>2017</v>
      </c>
      <c r="C492" s="154" t="s">
        <v>1032</v>
      </c>
      <c r="D492" s="1" t="s">
        <v>1157</v>
      </c>
      <c r="F492" s="1" t="s">
        <v>887</v>
      </c>
      <c r="J492" s="37" t="s">
        <v>913</v>
      </c>
      <c r="L492" s="36" t="s">
        <v>426</v>
      </c>
      <c r="M492" s="160"/>
      <c r="N492" s="36" t="s">
        <v>1152</v>
      </c>
      <c r="O492" s="41">
        <v>24</v>
      </c>
      <c r="Q492" s="91">
        <v>4747500</v>
      </c>
      <c r="AI492" s="47"/>
    </row>
    <row r="493" spans="2:35" ht="15.75" customHeight="1" x14ac:dyDescent="0.3">
      <c r="B493" s="36">
        <v>2017</v>
      </c>
      <c r="C493" s="154" t="s">
        <v>1032</v>
      </c>
      <c r="D493" s="1" t="s">
        <v>1158</v>
      </c>
      <c r="F493" s="1" t="s">
        <v>195</v>
      </c>
      <c r="J493" s="1" t="s">
        <v>314</v>
      </c>
      <c r="L493" s="36" t="s">
        <v>1154</v>
      </c>
      <c r="M493" s="160"/>
      <c r="N493" s="36" t="s">
        <v>1152</v>
      </c>
      <c r="O493" s="41">
        <v>42</v>
      </c>
      <c r="Q493" s="91">
        <v>6587500</v>
      </c>
      <c r="AI493" s="47"/>
    </row>
    <row r="494" spans="2:35" ht="15.75" customHeight="1" x14ac:dyDescent="0.3">
      <c r="B494" s="36">
        <v>2017</v>
      </c>
      <c r="C494" s="154" t="s">
        <v>1032</v>
      </c>
      <c r="D494" s="1" t="s">
        <v>1159</v>
      </c>
      <c r="F494" s="1" t="s">
        <v>338</v>
      </c>
      <c r="J494" s="1" t="s">
        <v>338</v>
      </c>
      <c r="L494" s="36" t="s">
        <v>426</v>
      </c>
      <c r="M494" s="160"/>
      <c r="N494" s="36" t="s">
        <v>45</v>
      </c>
      <c r="O494" s="41">
        <v>20</v>
      </c>
      <c r="Q494" s="91">
        <v>4095000</v>
      </c>
      <c r="AI494" s="47"/>
    </row>
    <row r="495" spans="2:35" ht="15.75" customHeight="1" x14ac:dyDescent="0.3">
      <c r="B495" s="36">
        <v>2017</v>
      </c>
      <c r="C495" s="154" t="s">
        <v>1032</v>
      </c>
      <c r="D495" s="1" t="s">
        <v>1160</v>
      </c>
      <c r="F495" s="1" t="s">
        <v>338</v>
      </c>
      <c r="J495" s="1" t="s">
        <v>338</v>
      </c>
      <c r="L495" s="36" t="s">
        <v>426</v>
      </c>
      <c r="M495" s="160"/>
      <c r="N495" s="36" t="s">
        <v>1152</v>
      </c>
      <c r="O495" s="41">
        <v>30</v>
      </c>
      <c r="Q495" s="91">
        <v>4400000</v>
      </c>
      <c r="AI495" s="47"/>
    </row>
    <row r="496" spans="2:35" ht="15.75" customHeight="1" x14ac:dyDescent="0.3">
      <c r="B496" s="36">
        <v>2017</v>
      </c>
      <c r="C496" s="154" t="s">
        <v>1032</v>
      </c>
      <c r="D496" s="1" t="s">
        <v>1161</v>
      </c>
      <c r="F496" s="1" t="s">
        <v>1162</v>
      </c>
      <c r="J496" s="1" t="s">
        <v>343</v>
      </c>
      <c r="L496" s="36" t="s">
        <v>1154</v>
      </c>
      <c r="M496" s="160"/>
      <c r="N496" s="36" t="s">
        <v>45</v>
      </c>
      <c r="O496" s="41">
        <v>24</v>
      </c>
      <c r="Q496" s="91">
        <v>4220000</v>
      </c>
      <c r="AI496" s="47"/>
    </row>
    <row r="497" spans="2:45" ht="15.75" customHeight="1" x14ac:dyDescent="0.3">
      <c r="B497" s="36">
        <v>2017</v>
      </c>
      <c r="C497" s="154" t="s">
        <v>1032</v>
      </c>
      <c r="D497" s="1" t="s">
        <v>1163</v>
      </c>
      <c r="F497" s="1" t="s">
        <v>1164</v>
      </c>
      <c r="J497" s="1" t="s">
        <v>343</v>
      </c>
      <c r="L497" s="36" t="s">
        <v>1154</v>
      </c>
      <c r="M497" s="160"/>
      <c r="N497" s="36" t="s">
        <v>45</v>
      </c>
      <c r="O497" s="41">
        <v>24</v>
      </c>
      <c r="Q497" s="91">
        <v>4275000</v>
      </c>
      <c r="AI497" s="47"/>
    </row>
    <row r="498" spans="2:45" ht="15.75" customHeight="1" x14ac:dyDescent="0.3">
      <c r="B498" s="36">
        <v>2017</v>
      </c>
      <c r="C498" s="154" t="s">
        <v>1032</v>
      </c>
      <c r="D498" s="1" t="s">
        <v>987</v>
      </c>
      <c r="F498" s="1" t="s">
        <v>46</v>
      </c>
      <c r="J498" s="1" t="s">
        <v>343</v>
      </c>
      <c r="L498" s="36" t="s">
        <v>426</v>
      </c>
      <c r="M498" s="160"/>
      <c r="N498" s="36" t="s">
        <v>45</v>
      </c>
      <c r="O498" s="41">
        <v>32</v>
      </c>
      <c r="Q498" s="91">
        <v>4175500</v>
      </c>
      <c r="AI498" s="47"/>
    </row>
    <row r="499" spans="2:45" ht="15.75" customHeight="1" x14ac:dyDescent="0.3">
      <c r="B499" s="36">
        <v>2018</v>
      </c>
      <c r="C499" s="154" t="s">
        <v>1032</v>
      </c>
      <c r="D499" s="1" t="s">
        <v>1167</v>
      </c>
      <c r="F499" s="1" t="s">
        <v>1168</v>
      </c>
      <c r="J499" s="1" t="s">
        <v>213</v>
      </c>
      <c r="L499" s="36" t="s">
        <v>454</v>
      </c>
      <c r="M499" s="160" t="s">
        <v>1169</v>
      </c>
      <c r="N499" s="36" t="s">
        <v>1152</v>
      </c>
      <c r="O499" s="41">
        <v>1</v>
      </c>
      <c r="Q499" s="91">
        <v>6353650</v>
      </c>
      <c r="AC499" s="1" t="s">
        <v>1170</v>
      </c>
      <c r="AI499" s="47"/>
    </row>
    <row r="500" spans="2:45" ht="15.75" customHeight="1" x14ac:dyDescent="0.3">
      <c r="B500" s="36">
        <v>2018</v>
      </c>
      <c r="C500" s="154" t="s">
        <v>1032</v>
      </c>
      <c r="D500" s="1" t="s">
        <v>1171</v>
      </c>
      <c r="F500" s="1" t="s">
        <v>46</v>
      </c>
      <c r="J500" s="1" t="s">
        <v>343</v>
      </c>
      <c r="L500" s="36" t="s">
        <v>1154</v>
      </c>
      <c r="M500" s="160" t="s">
        <v>1169</v>
      </c>
      <c r="N500" s="36" t="s">
        <v>1152</v>
      </c>
      <c r="O500" s="41">
        <v>3</v>
      </c>
      <c r="Q500" s="91">
        <v>6150000</v>
      </c>
      <c r="AC500" s="1" t="s">
        <v>1172</v>
      </c>
      <c r="AI500" s="47"/>
    </row>
    <row r="501" spans="2:45" ht="15.75" customHeight="1" x14ac:dyDescent="0.3">
      <c r="B501" s="36">
        <v>2018</v>
      </c>
      <c r="C501" s="154" t="s">
        <v>1032</v>
      </c>
      <c r="D501" s="1" t="s">
        <v>1153</v>
      </c>
      <c r="F501" s="1" t="s">
        <v>795</v>
      </c>
      <c r="J501" s="1" t="s">
        <v>361</v>
      </c>
      <c r="L501" s="36" t="s">
        <v>1154</v>
      </c>
      <c r="M501" s="160" t="s">
        <v>307</v>
      </c>
      <c r="N501" s="36" t="s">
        <v>1152</v>
      </c>
      <c r="O501" s="41">
        <v>19</v>
      </c>
      <c r="Q501" s="91">
        <v>2710000</v>
      </c>
      <c r="AC501" s="1" t="s">
        <v>1173</v>
      </c>
      <c r="AI501" s="47"/>
    </row>
    <row r="502" spans="2:45" ht="15.75" customHeight="1" x14ac:dyDescent="0.3">
      <c r="B502" s="36">
        <v>2018</v>
      </c>
      <c r="C502" s="154" t="s">
        <v>1032</v>
      </c>
      <c r="D502" s="1" t="s">
        <v>1028</v>
      </c>
      <c r="F502" s="1" t="s">
        <v>1029</v>
      </c>
      <c r="J502" s="1" t="s">
        <v>356</v>
      </c>
      <c r="L502" s="36" t="s">
        <v>426</v>
      </c>
      <c r="M502" s="160" t="s">
        <v>1169</v>
      </c>
      <c r="N502" s="36" t="s">
        <v>1152</v>
      </c>
      <c r="O502" s="41">
        <v>16</v>
      </c>
      <c r="Q502" s="91">
        <v>3387500</v>
      </c>
      <c r="AC502" s="1" t="s">
        <v>1174</v>
      </c>
      <c r="AI502" s="47"/>
    </row>
    <row r="503" spans="2:45" ht="15.75" customHeight="1" x14ac:dyDescent="0.3">
      <c r="B503" s="36">
        <v>2018</v>
      </c>
      <c r="C503" s="154" t="s">
        <v>1032</v>
      </c>
      <c r="D503" s="1" t="s">
        <v>1175</v>
      </c>
      <c r="F503" s="1" t="s">
        <v>195</v>
      </c>
      <c r="J503" s="1" t="s">
        <v>314</v>
      </c>
      <c r="L503" s="36" t="s">
        <v>1154</v>
      </c>
      <c r="M503" s="160" t="s">
        <v>1169</v>
      </c>
      <c r="N503" s="36" t="s">
        <v>1152</v>
      </c>
      <c r="O503" s="41">
        <v>32</v>
      </c>
      <c r="Q503" s="91">
        <v>6775000</v>
      </c>
      <c r="AC503" s="1" t="s">
        <v>1176</v>
      </c>
      <c r="AI503" s="47"/>
    </row>
    <row r="504" spans="2:45" ht="15.75" customHeight="1" x14ac:dyDescent="0.3">
      <c r="B504" s="36">
        <v>2018</v>
      </c>
      <c r="C504" s="154" t="s">
        <v>1032</v>
      </c>
      <c r="D504" s="1" t="s">
        <v>1161</v>
      </c>
      <c r="F504" s="1" t="s">
        <v>1162</v>
      </c>
      <c r="J504" s="1" t="s">
        <v>343</v>
      </c>
      <c r="L504" s="36" t="s">
        <v>1154</v>
      </c>
      <c r="M504" s="160" t="s">
        <v>1169</v>
      </c>
      <c r="N504" s="36" t="s">
        <v>45</v>
      </c>
      <c r="O504" s="41">
        <v>24</v>
      </c>
      <c r="Q504" s="91">
        <v>5300000</v>
      </c>
      <c r="AC504" s="1" t="s">
        <v>1172</v>
      </c>
      <c r="AI504" s="47"/>
    </row>
    <row r="505" spans="2:45" ht="15.75" customHeight="1" x14ac:dyDescent="0.3">
      <c r="B505" s="36">
        <v>2018</v>
      </c>
      <c r="C505" s="154" t="s">
        <v>1032</v>
      </c>
      <c r="D505" s="1" t="s">
        <v>1139</v>
      </c>
      <c r="F505" s="1" t="s">
        <v>1140</v>
      </c>
      <c r="J505" s="1" t="s">
        <v>428</v>
      </c>
      <c r="L505" s="36" t="s">
        <v>426</v>
      </c>
      <c r="M505" s="160" t="s">
        <v>307</v>
      </c>
      <c r="N505" s="36" t="s">
        <v>1152</v>
      </c>
      <c r="O505" s="41">
        <v>32</v>
      </c>
      <c r="Q505" s="91">
        <v>4053451</v>
      </c>
      <c r="AC505" s="1" t="s">
        <v>1177</v>
      </c>
      <c r="AI505" s="47"/>
    </row>
    <row r="506" spans="2:45" ht="15.75" customHeight="1" x14ac:dyDescent="0.3">
      <c r="B506" s="36">
        <v>2018</v>
      </c>
      <c r="C506" s="154" t="s">
        <v>1032</v>
      </c>
      <c r="D506" s="1" t="s">
        <v>1178</v>
      </c>
      <c r="F506" s="1" t="s">
        <v>1044</v>
      </c>
      <c r="J506" s="1" t="s">
        <v>383</v>
      </c>
      <c r="L506" s="36" t="s">
        <v>440</v>
      </c>
      <c r="M506" s="160" t="s">
        <v>307</v>
      </c>
      <c r="N506" s="36" t="s">
        <v>1152</v>
      </c>
      <c r="O506" s="41">
        <v>100</v>
      </c>
      <c r="Q506" s="91">
        <v>6775000</v>
      </c>
      <c r="AC506" s="1" t="s">
        <v>1179</v>
      </c>
      <c r="AI506" s="47"/>
    </row>
    <row r="507" spans="2:45" ht="15.75" customHeight="1" x14ac:dyDescent="0.3">
      <c r="B507" s="36">
        <v>2018</v>
      </c>
      <c r="C507" s="154" t="s">
        <v>1032</v>
      </c>
      <c r="D507" s="1" t="s">
        <v>1180</v>
      </c>
      <c r="F507" s="1" t="s">
        <v>1164</v>
      </c>
      <c r="J507" s="1" t="s">
        <v>343</v>
      </c>
      <c r="L507" s="36" t="s">
        <v>1154</v>
      </c>
      <c r="M507" s="160" t="s">
        <v>1169</v>
      </c>
      <c r="N507" s="36" t="s">
        <v>45</v>
      </c>
      <c r="O507" s="41">
        <v>24</v>
      </c>
      <c r="Q507" s="91">
        <v>5425000</v>
      </c>
      <c r="AC507" s="1" t="s">
        <v>1181</v>
      </c>
      <c r="AI507" s="47"/>
    </row>
    <row r="508" spans="2:45" ht="15.75" customHeight="1" x14ac:dyDescent="0.3">
      <c r="B508" s="36">
        <v>2018</v>
      </c>
      <c r="C508" s="154" t="s">
        <v>1032</v>
      </c>
      <c r="D508" s="1" t="s">
        <v>1182</v>
      </c>
      <c r="F508" s="1" t="s">
        <v>1031</v>
      </c>
      <c r="J508" s="1" t="s">
        <v>343</v>
      </c>
      <c r="L508" s="36" t="s">
        <v>1154</v>
      </c>
      <c r="M508" s="160" t="s">
        <v>1169</v>
      </c>
      <c r="N508" s="36" t="s">
        <v>45</v>
      </c>
      <c r="O508" s="41">
        <v>27</v>
      </c>
      <c r="Q508" s="91">
        <v>6084440</v>
      </c>
      <c r="AC508" s="1" t="s">
        <v>1183</v>
      </c>
      <c r="AI508" s="47"/>
    </row>
    <row r="509" spans="2:45" ht="15.75" customHeight="1" x14ac:dyDescent="0.3">
      <c r="B509" s="36">
        <v>2018</v>
      </c>
      <c r="C509" s="154" t="s">
        <v>1032</v>
      </c>
      <c r="D509" s="1" t="s">
        <v>1157</v>
      </c>
      <c r="F509" s="1" t="s">
        <v>887</v>
      </c>
      <c r="J509" s="37" t="s">
        <v>913</v>
      </c>
      <c r="L509" s="36" t="s">
        <v>426</v>
      </c>
      <c r="M509" s="160" t="s">
        <v>1169</v>
      </c>
      <c r="N509" s="36" t="s">
        <v>1152</v>
      </c>
      <c r="O509" s="41">
        <v>35</v>
      </c>
      <c r="Q509" s="91">
        <v>6667000</v>
      </c>
      <c r="AC509" s="1" t="s">
        <v>1184</v>
      </c>
      <c r="AI509" s="47"/>
    </row>
    <row r="510" spans="2:45" ht="15.75" customHeight="1" x14ac:dyDescent="0.3">
      <c r="B510" s="36">
        <v>2018</v>
      </c>
      <c r="C510" s="154" t="s">
        <v>1032</v>
      </c>
      <c r="D510" s="1" t="s">
        <v>1185</v>
      </c>
      <c r="F510" s="1" t="s">
        <v>1186</v>
      </c>
      <c r="J510" s="1" t="s">
        <v>1187</v>
      </c>
      <c r="L510" s="36" t="s">
        <v>1154</v>
      </c>
      <c r="M510" s="160" t="s">
        <v>1169</v>
      </c>
      <c r="N510" s="36" t="s">
        <v>45</v>
      </c>
      <c r="O510" s="41">
        <v>20</v>
      </c>
      <c r="Q510" s="91">
        <v>3700000</v>
      </c>
      <c r="AC510" s="1" t="s">
        <v>1173</v>
      </c>
      <c r="AI510" s="47"/>
    </row>
    <row r="511" spans="2:45" ht="15.75" customHeight="1" x14ac:dyDescent="0.3">
      <c r="B511" s="36">
        <v>2019</v>
      </c>
      <c r="C511" s="154" t="s">
        <v>1032</v>
      </c>
      <c r="D511" s="1" t="s">
        <v>1212</v>
      </c>
      <c r="F511" s="1" t="s">
        <v>338</v>
      </c>
      <c r="J511" s="1" t="s">
        <v>338</v>
      </c>
      <c r="L511" s="36" t="s">
        <v>1154</v>
      </c>
      <c r="M511" s="160" t="s">
        <v>298</v>
      </c>
      <c r="N511" s="36" t="s">
        <v>1152</v>
      </c>
      <c r="O511" s="41">
        <v>41</v>
      </c>
      <c r="Q511" s="91">
        <v>7644550</v>
      </c>
      <c r="AC511" s="1" t="s">
        <v>1211</v>
      </c>
      <c r="AD511" s="1" t="s">
        <v>844</v>
      </c>
      <c r="AE511" s="1" t="s">
        <v>929</v>
      </c>
      <c r="AF511" s="1" t="s">
        <v>338</v>
      </c>
      <c r="AG511" s="1" t="s">
        <v>472</v>
      </c>
      <c r="AH511" s="36">
        <v>59806</v>
      </c>
      <c r="AI511" s="47" t="s">
        <v>1213</v>
      </c>
      <c r="AJ511" s="167">
        <v>4062031558</v>
      </c>
      <c r="AK511" s="167"/>
      <c r="AL511" s="167"/>
      <c r="AM511" s="167"/>
      <c r="AN511" s="167"/>
      <c r="AO511" s="167"/>
      <c r="AP511" s="167"/>
      <c r="AQ511" s="167"/>
      <c r="AR511" s="167"/>
      <c r="AS511" s="167"/>
    </row>
    <row r="512" spans="2:45" ht="15.75" customHeight="1" x14ac:dyDescent="0.3">
      <c r="B512" s="36">
        <v>2019</v>
      </c>
      <c r="C512" s="154" t="s">
        <v>1032</v>
      </c>
      <c r="D512" s="1" t="s">
        <v>1139</v>
      </c>
      <c r="F512" s="1" t="s">
        <v>1140</v>
      </c>
      <c r="J512" s="1" t="s">
        <v>428</v>
      </c>
      <c r="L512" s="36" t="s">
        <v>426</v>
      </c>
      <c r="M512" s="160" t="s">
        <v>307</v>
      </c>
      <c r="N512" s="36" t="s">
        <v>1152</v>
      </c>
      <c r="O512" s="41">
        <v>32</v>
      </c>
      <c r="Q512" s="91">
        <v>3846270</v>
      </c>
      <c r="AC512" s="1" t="s">
        <v>1214</v>
      </c>
      <c r="AD512" s="1" t="s">
        <v>944</v>
      </c>
      <c r="AE512" s="1" t="s">
        <v>1215</v>
      </c>
      <c r="AF512" s="1" t="s">
        <v>799</v>
      </c>
      <c r="AG512" s="1" t="s">
        <v>478</v>
      </c>
      <c r="AH512" s="36">
        <v>83702</v>
      </c>
      <c r="AI512" s="47" t="s">
        <v>1216</v>
      </c>
      <c r="AJ512" s="167">
        <v>2083364610</v>
      </c>
      <c r="AK512" s="167"/>
      <c r="AL512" s="167"/>
      <c r="AM512" s="167"/>
      <c r="AN512" s="167"/>
      <c r="AO512" s="167"/>
      <c r="AP512" s="167"/>
      <c r="AQ512" s="167"/>
      <c r="AR512" s="167"/>
      <c r="AS512" s="167"/>
    </row>
    <row r="513" spans="1:72" ht="15.75" customHeight="1" x14ac:dyDescent="0.3">
      <c r="B513" s="36">
        <v>2019</v>
      </c>
      <c r="C513" s="154" t="s">
        <v>1032</v>
      </c>
      <c r="D513" s="1" t="s">
        <v>1555</v>
      </c>
      <c r="F513" s="1" t="s">
        <v>133</v>
      </c>
      <c r="J513" s="1" t="s">
        <v>361</v>
      </c>
      <c r="L513" s="36" t="s">
        <v>454</v>
      </c>
      <c r="M513" s="160" t="s">
        <v>298</v>
      </c>
      <c r="N513" s="36" t="s">
        <v>45</v>
      </c>
      <c r="O513" s="41">
        <v>30</v>
      </c>
      <c r="Q513" s="91">
        <v>6775000</v>
      </c>
      <c r="AC513" s="1" t="s">
        <v>85</v>
      </c>
      <c r="AD513" s="1" t="s">
        <v>824</v>
      </c>
      <c r="AE513" s="1" t="s">
        <v>1217</v>
      </c>
      <c r="AF513" s="1" t="s">
        <v>133</v>
      </c>
      <c r="AG513" s="1" t="s">
        <v>472</v>
      </c>
      <c r="AH513" s="36">
        <v>59417</v>
      </c>
      <c r="AI513" s="47" t="s">
        <v>1218</v>
      </c>
      <c r="AJ513" s="167">
        <v>4063385031</v>
      </c>
      <c r="AK513" s="167"/>
      <c r="AL513" s="167"/>
      <c r="AM513" s="167"/>
      <c r="AN513" s="167"/>
      <c r="AO513" s="167"/>
      <c r="AP513" s="167"/>
      <c r="AQ513" s="167"/>
      <c r="AR513" s="167"/>
      <c r="AS513" s="167"/>
    </row>
    <row r="514" spans="1:72" ht="15.75" customHeight="1" x14ac:dyDescent="0.3">
      <c r="B514" s="36">
        <v>2019</v>
      </c>
      <c r="C514" s="154" t="s">
        <v>1032</v>
      </c>
      <c r="D514" s="1" t="s">
        <v>1153</v>
      </c>
      <c r="F514" s="1" t="s">
        <v>1219</v>
      </c>
      <c r="J514" s="1" t="s">
        <v>361</v>
      </c>
      <c r="L514" s="36" t="s">
        <v>1154</v>
      </c>
      <c r="M514" s="160" t="s">
        <v>307</v>
      </c>
      <c r="N514" s="36" t="s">
        <v>1152</v>
      </c>
      <c r="O514" s="41">
        <v>19</v>
      </c>
      <c r="Q514" s="91">
        <v>3207454</v>
      </c>
      <c r="AC514" s="1" t="s">
        <v>1173</v>
      </c>
      <c r="AD514" s="1" t="s">
        <v>1220</v>
      </c>
      <c r="AE514" s="1" t="s">
        <v>1221</v>
      </c>
      <c r="AF514" s="1" t="s">
        <v>887</v>
      </c>
      <c r="AG514" s="1" t="s">
        <v>472</v>
      </c>
      <c r="AH514" s="36">
        <v>59602</v>
      </c>
      <c r="AI514" s="47" t="s">
        <v>1222</v>
      </c>
      <c r="AJ514" s="167">
        <v>4064312151</v>
      </c>
      <c r="AK514" s="167"/>
      <c r="AL514" s="167"/>
      <c r="AM514" s="167"/>
      <c r="AN514" s="167"/>
      <c r="AO514" s="167"/>
      <c r="AP514" s="167"/>
      <c r="AQ514" s="167"/>
      <c r="AR514" s="167"/>
      <c r="AS514" s="167"/>
    </row>
    <row r="515" spans="1:72" ht="15.75" customHeight="1" x14ac:dyDescent="0.3">
      <c r="B515" s="36">
        <v>2019</v>
      </c>
      <c r="C515" s="154" t="s">
        <v>1032</v>
      </c>
      <c r="D515" s="1" t="s">
        <v>1178</v>
      </c>
      <c r="F515" s="1" t="s">
        <v>1044</v>
      </c>
      <c r="J515" s="1" t="s">
        <v>383</v>
      </c>
      <c r="L515" s="36" t="s">
        <v>426</v>
      </c>
      <c r="M515" s="160" t="s">
        <v>307</v>
      </c>
      <c r="N515" s="36" t="s">
        <v>1152</v>
      </c>
      <c r="O515" s="41">
        <v>100</v>
      </c>
      <c r="Q515" s="91">
        <v>3299063</v>
      </c>
      <c r="AC515" s="1" t="s">
        <v>1223</v>
      </c>
      <c r="AD515" s="1" t="s">
        <v>947</v>
      </c>
      <c r="AE515" s="1" t="s">
        <v>948</v>
      </c>
      <c r="AF515" s="1" t="s">
        <v>1194</v>
      </c>
      <c r="AG515" s="1" t="s">
        <v>72</v>
      </c>
      <c r="AH515" s="36">
        <v>48072</v>
      </c>
      <c r="AI515" s="47" t="s">
        <v>1195</v>
      </c>
      <c r="AJ515" s="167">
        <v>2485252516</v>
      </c>
      <c r="AK515" s="167"/>
      <c r="AL515" s="167"/>
      <c r="AM515" s="167"/>
      <c r="AN515" s="167"/>
      <c r="AO515" s="167"/>
      <c r="AP515" s="167"/>
      <c r="AQ515" s="167"/>
      <c r="AR515" s="167"/>
      <c r="AS515" s="167"/>
    </row>
    <row r="516" spans="1:72" ht="15.75" customHeight="1" x14ac:dyDescent="0.3">
      <c r="B516" s="36">
        <v>2019</v>
      </c>
      <c r="C516" s="154" t="s">
        <v>1032</v>
      </c>
      <c r="D516" s="1" t="s">
        <v>1224</v>
      </c>
      <c r="F516" s="1" t="s">
        <v>760</v>
      </c>
      <c r="J516" s="1" t="s">
        <v>303</v>
      </c>
      <c r="L516" s="36" t="s">
        <v>426</v>
      </c>
      <c r="M516" s="160" t="s">
        <v>307</v>
      </c>
      <c r="N516" s="36" t="s">
        <v>45</v>
      </c>
      <c r="O516" s="41">
        <v>91</v>
      </c>
      <c r="Q516" s="91">
        <v>3299063</v>
      </c>
      <c r="AC516" s="1" t="s">
        <v>1179</v>
      </c>
      <c r="AD516" s="1" t="s">
        <v>947</v>
      </c>
      <c r="AE516" s="1" t="s">
        <v>948</v>
      </c>
      <c r="AF516" s="1" t="s">
        <v>1194</v>
      </c>
      <c r="AG516" s="1" t="s">
        <v>72</v>
      </c>
      <c r="AH516" s="36">
        <v>48072</v>
      </c>
      <c r="AI516" s="47" t="s">
        <v>1195</v>
      </c>
      <c r="AJ516" s="167">
        <v>2485252516</v>
      </c>
      <c r="AK516" s="167"/>
      <c r="AL516" s="167"/>
      <c r="AM516" s="167"/>
      <c r="AN516" s="167"/>
      <c r="AO516" s="167"/>
      <c r="AP516" s="167"/>
      <c r="AQ516" s="167"/>
      <c r="AR516" s="167"/>
      <c r="AS516" s="167"/>
    </row>
    <row r="517" spans="1:72" ht="15.75" customHeight="1" x14ac:dyDescent="0.3">
      <c r="B517" s="36">
        <v>2019</v>
      </c>
      <c r="C517" s="154" t="s">
        <v>1032</v>
      </c>
      <c r="D517" s="1" t="s">
        <v>1028</v>
      </c>
      <c r="F517" s="1" t="s">
        <v>1029</v>
      </c>
      <c r="J517" s="1" t="s">
        <v>356</v>
      </c>
      <c r="L517" s="36" t="s">
        <v>426</v>
      </c>
      <c r="M517" s="160" t="s">
        <v>298</v>
      </c>
      <c r="N517" s="36" t="s">
        <v>1152</v>
      </c>
      <c r="O517" s="41">
        <v>16</v>
      </c>
      <c r="Q517" s="91">
        <v>3450000</v>
      </c>
      <c r="AC517" s="1" t="s">
        <v>1225</v>
      </c>
      <c r="AD517" s="1" t="s">
        <v>53</v>
      </c>
      <c r="AE517" s="1" t="s">
        <v>1226</v>
      </c>
      <c r="AF517" s="1" t="s">
        <v>338</v>
      </c>
      <c r="AG517" s="1" t="s">
        <v>472</v>
      </c>
      <c r="AH517" s="36">
        <v>59801</v>
      </c>
      <c r="AI517" s="47" t="s">
        <v>1227</v>
      </c>
      <c r="AJ517" s="167">
        <v>4067283710</v>
      </c>
      <c r="AK517" s="167"/>
      <c r="AL517" s="167"/>
      <c r="AM517" s="167"/>
      <c r="AN517" s="167"/>
      <c r="AO517" s="167"/>
      <c r="AP517" s="167"/>
      <c r="AQ517" s="167"/>
      <c r="AR517" s="167"/>
      <c r="AS517" s="167"/>
    </row>
    <row r="518" spans="1:72" ht="15.75" customHeight="1" x14ac:dyDescent="0.3">
      <c r="B518" s="36">
        <v>2019</v>
      </c>
      <c r="C518" s="154" t="s">
        <v>1032</v>
      </c>
      <c r="D518" s="1" t="s">
        <v>1229</v>
      </c>
      <c r="F518" s="1" t="s">
        <v>338</v>
      </c>
      <c r="J518" s="1" t="s">
        <v>338</v>
      </c>
      <c r="L518" s="36" t="s">
        <v>1154</v>
      </c>
      <c r="M518" s="160" t="s">
        <v>298</v>
      </c>
      <c r="N518" s="36" t="s">
        <v>45</v>
      </c>
      <c r="O518" s="41">
        <v>36</v>
      </c>
      <c r="Q518" s="91">
        <v>7061630</v>
      </c>
      <c r="AC518" s="1" t="s">
        <v>1228</v>
      </c>
      <c r="AD518" s="1" t="s">
        <v>1230</v>
      </c>
      <c r="AE518" s="1" t="s">
        <v>1231</v>
      </c>
      <c r="AF518" s="1" t="s">
        <v>338</v>
      </c>
      <c r="AG518" s="1" t="s">
        <v>472</v>
      </c>
      <c r="AH518" s="36">
        <v>59808</v>
      </c>
      <c r="AI518" s="47" t="s">
        <v>1232</v>
      </c>
      <c r="AJ518" s="167">
        <v>4062141618</v>
      </c>
      <c r="AK518" s="167"/>
      <c r="AL518" s="167"/>
      <c r="AM518" s="167"/>
      <c r="AN518" s="167"/>
      <c r="AO518" s="167"/>
      <c r="AP518" s="167"/>
      <c r="AQ518" s="167"/>
      <c r="AR518" s="167"/>
      <c r="AS518" s="167"/>
    </row>
    <row r="519" spans="1:72" ht="15.75" customHeight="1" x14ac:dyDescent="0.3">
      <c r="B519" s="36">
        <v>2019</v>
      </c>
      <c r="C519" s="154" t="s">
        <v>1032</v>
      </c>
      <c r="D519" s="1" t="s">
        <v>1234</v>
      </c>
      <c r="F519" s="1" t="s">
        <v>65</v>
      </c>
      <c r="J519" s="1" t="s">
        <v>308</v>
      </c>
      <c r="L519" s="36" t="s">
        <v>426</v>
      </c>
      <c r="M519" s="160" t="s">
        <v>298</v>
      </c>
      <c r="N519" s="36" t="s">
        <v>45</v>
      </c>
      <c r="O519" s="41">
        <v>46</v>
      </c>
      <c r="Q519" s="91">
        <v>6775000</v>
      </c>
      <c r="AC519" s="1" t="s">
        <v>1233</v>
      </c>
      <c r="AD519" s="1" t="s">
        <v>1235</v>
      </c>
      <c r="AE519" s="1" t="s">
        <v>1236</v>
      </c>
      <c r="AF519" s="1" t="s">
        <v>65</v>
      </c>
      <c r="AG519" s="1" t="s">
        <v>472</v>
      </c>
      <c r="AH519" s="36">
        <v>59401</v>
      </c>
      <c r="AI519" s="47" t="s">
        <v>1237</v>
      </c>
      <c r="AJ519" s="167">
        <v>4067615861</v>
      </c>
      <c r="AK519" s="167"/>
      <c r="AL519" s="167"/>
      <c r="AM519" s="167"/>
      <c r="AN519" s="167"/>
      <c r="AO519" s="167"/>
      <c r="AP519" s="167"/>
      <c r="AQ519" s="167"/>
      <c r="AR519" s="167"/>
      <c r="AS519" s="167"/>
    </row>
    <row r="520" spans="1:72" ht="15.75" customHeight="1" x14ac:dyDescent="0.3">
      <c r="B520" s="36">
        <v>2019</v>
      </c>
      <c r="C520" s="154" t="s">
        <v>1032</v>
      </c>
      <c r="D520" s="1" t="s">
        <v>1239</v>
      </c>
      <c r="F520" s="1" t="s">
        <v>195</v>
      </c>
      <c r="J520" s="1" t="s">
        <v>314</v>
      </c>
      <c r="L520" s="36" t="s">
        <v>1154</v>
      </c>
      <c r="M520" s="160" t="s">
        <v>298</v>
      </c>
      <c r="N520" s="36" t="s">
        <v>1152</v>
      </c>
      <c r="O520" s="41">
        <v>40</v>
      </c>
      <c r="Q520" s="91">
        <v>7762500</v>
      </c>
      <c r="AC520" s="1" t="s">
        <v>1238</v>
      </c>
      <c r="AD520" s="1" t="s">
        <v>1240</v>
      </c>
      <c r="AE520" s="1" t="s">
        <v>1241</v>
      </c>
      <c r="AF520" s="1" t="s">
        <v>338</v>
      </c>
      <c r="AG520" s="1" t="s">
        <v>472</v>
      </c>
      <c r="AH520" s="36">
        <v>59802</v>
      </c>
      <c r="AI520" s="47" t="s">
        <v>1242</v>
      </c>
      <c r="AJ520" s="167">
        <v>4065410999</v>
      </c>
      <c r="AK520" s="167"/>
      <c r="AL520" s="167"/>
      <c r="AM520" s="167"/>
      <c r="AN520" s="167"/>
      <c r="AO520" s="167"/>
      <c r="AP520" s="167"/>
      <c r="AQ520" s="167"/>
      <c r="AR520" s="167"/>
      <c r="AS520" s="167"/>
    </row>
    <row r="521" spans="1:72" ht="15.75" customHeight="1" x14ac:dyDescent="0.3">
      <c r="B521" s="36">
        <v>2019</v>
      </c>
      <c r="C521" s="154" t="s">
        <v>1032</v>
      </c>
      <c r="D521" s="1" t="s">
        <v>1171</v>
      </c>
      <c r="F521" s="1" t="s">
        <v>46</v>
      </c>
      <c r="J521" s="1" t="s">
        <v>343</v>
      </c>
      <c r="L521" s="36" t="s">
        <v>1154</v>
      </c>
      <c r="M521" s="160" t="s">
        <v>298</v>
      </c>
      <c r="N521" s="36" t="s">
        <v>1152</v>
      </c>
      <c r="O521" s="41">
        <v>42</v>
      </c>
      <c r="Q521" s="91">
        <v>6150000</v>
      </c>
      <c r="AC521" s="1" t="s">
        <v>1172</v>
      </c>
      <c r="AD521" s="1" t="s">
        <v>844</v>
      </c>
      <c r="AE521" s="1" t="s">
        <v>929</v>
      </c>
      <c r="AF521" s="1" t="s">
        <v>338</v>
      </c>
      <c r="AG521" s="1" t="s">
        <v>472</v>
      </c>
      <c r="AH521" s="36">
        <v>59806</v>
      </c>
      <c r="AI521" s="47" t="s">
        <v>1213</v>
      </c>
      <c r="AJ521" s="167">
        <v>4062031558</v>
      </c>
      <c r="AK521" s="167"/>
      <c r="AL521" s="167"/>
      <c r="AM521" s="167"/>
      <c r="AN521" s="167"/>
      <c r="AO521" s="167"/>
      <c r="AP521" s="167"/>
      <c r="AQ521" s="167"/>
      <c r="AR521" s="167"/>
      <c r="AS521" s="167"/>
    </row>
    <row r="522" spans="1:72" ht="15.75" customHeight="1" x14ac:dyDescent="0.3">
      <c r="B522" s="36">
        <v>2019</v>
      </c>
      <c r="C522" s="154" t="s">
        <v>1032</v>
      </c>
      <c r="D522" s="1" t="s">
        <v>1244</v>
      </c>
      <c r="F522" s="1" t="s">
        <v>1040</v>
      </c>
      <c r="J522" s="1" t="s">
        <v>198</v>
      </c>
      <c r="L522" s="36" t="s">
        <v>426</v>
      </c>
      <c r="M522" s="160" t="s">
        <v>298</v>
      </c>
      <c r="N522" s="36" t="s">
        <v>45</v>
      </c>
      <c r="O522" s="41">
        <v>28</v>
      </c>
      <c r="Q522" s="91">
        <v>6976862</v>
      </c>
      <c r="AC522" s="1" t="s">
        <v>1243</v>
      </c>
      <c r="AD522" s="1" t="s">
        <v>1245</v>
      </c>
      <c r="AE522" s="1" t="s">
        <v>1246</v>
      </c>
      <c r="AF522" s="1" t="s">
        <v>799</v>
      </c>
      <c r="AG522" s="1" t="s">
        <v>478</v>
      </c>
      <c r="AH522" s="36">
        <v>83702</v>
      </c>
      <c r="AI522" s="47" t="s">
        <v>1247</v>
      </c>
      <c r="AJ522" s="167">
        <v>2083314765</v>
      </c>
      <c r="AK522" s="167"/>
      <c r="AL522" s="167"/>
      <c r="AM522" s="167"/>
      <c r="AN522" s="167"/>
      <c r="AO522" s="167"/>
      <c r="AP522" s="167"/>
      <c r="AQ522" s="167"/>
      <c r="AR522" s="167"/>
      <c r="AS522" s="167"/>
    </row>
    <row r="523" spans="1:72" ht="15.75" customHeight="1" x14ac:dyDescent="0.25">
      <c r="B523" s="36">
        <v>2020</v>
      </c>
      <c r="C523" s="154" t="s">
        <v>1032</v>
      </c>
      <c r="D523" s="1" t="s">
        <v>1618</v>
      </c>
      <c r="F523" s="1" t="s">
        <v>60</v>
      </c>
      <c r="G523" s="38">
        <v>59701</v>
      </c>
      <c r="J523" s="1" t="s">
        <v>437</v>
      </c>
      <c r="K523" s="40">
        <v>0.09</v>
      </c>
      <c r="L523" s="36" t="s">
        <v>1154</v>
      </c>
      <c r="M523" s="1" t="s">
        <v>1169</v>
      </c>
      <c r="N523" s="36" t="s">
        <v>1152</v>
      </c>
      <c r="O523" s="41">
        <v>36</v>
      </c>
      <c r="P523" s="41"/>
      <c r="Q523" s="42">
        <v>6150000</v>
      </c>
      <c r="R523" s="42">
        <v>5319218</v>
      </c>
      <c r="S523" s="42"/>
      <c r="T523" s="42"/>
      <c r="AC523" s="1" t="s">
        <v>1172</v>
      </c>
      <c r="AD523" s="1" t="s">
        <v>844</v>
      </c>
      <c r="AE523" s="1" t="s">
        <v>929</v>
      </c>
      <c r="AF523" s="1" t="s">
        <v>338</v>
      </c>
      <c r="AG523" s="1" t="s">
        <v>472</v>
      </c>
      <c r="AH523" s="36">
        <v>59806</v>
      </c>
      <c r="AI523" s="47" t="s">
        <v>1213</v>
      </c>
      <c r="AJ523" s="167">
        <v>4062031558</v>
      </c>
      <c r="AK523" s="167"/>
      <c r="AL523" s="167"/>
      <c r="AM523" s="167"/>
      <c r="AN523" s="167"/>
      <c r="AO523" s="167"/>
      <c r="AP523" s="167"/>
      <c r="AQ523" s="167"/>
      <c r="AR523" s="167"/>
      <c r="AS523" s="167"/>
      <c r="BR523" s="52">
        <v>6344437</v>
      </c>
      <c r="BS523" s="52" t="e">
        <f>VLOOKUP(M523,#REF!,2,TRUE)*(BR523/1000000)</f>
        <v>#REF!</v>
      </c>
      <c r="BT523" s="43" t="e">
        <f>VLOOKUP(M523,#REF!,3,TRUE)*(BR523/1000000)</f>
        <v>#REF!</v>
      </c>
    </row>
    <row r="524" spans="1:72" s="93" customFormat="1" ht="15" customHeight="1" x14ac:dyDescent="0.25">
      <c r="A524" s="8"/>
      <c r="B524" s="36">
        <v>2020</v>
      </c>
      <c r="C524" s="154" t="s">
        <v>1032</v>
      </c>
      <c r="D524" s="1" t="s">
        <v>1613</v>
      </c>
      <c r="E524" s="1"/>
      <c r="F524" s="1" t="s">
        <v>1262</v>
      </c>
      <c r="G524" s="38">
        <v>59034</v>
      </c>
      <c r="H524" s="39"/>
      <c r="I524" s="39"/>
      <c r="J524" s="1" t="s">
        <v>420</v>
      </c>
      <c r="K524" s="40">
        <v>0.09</v>
      </c>
      <c r="L524" s="36" t="s">
        <v>426</v>
      </c>
      <c r="M524" s="1" t="s">
        <v>307</v>
      </c>
      <c r="N524" s="36" t="s">
        <v>1152</v>
      </c>
      <c r="O524" s="41">
        <v>24</v>
      </c>
      <c r="P524" s="41"/>
      <c r="Q524" s="42">
        <v>3584210</v>
      </c>
      <c r="R524" s="42">
        <v>2859665</v>
      </c>
      <c r="S524" s="42"/>
      <c r="T524" s="42"/>
      <c r="U524" s="53"/>
      <c r="V524" s="45"/>
      <c r="W524" s="8"/>
      <c r="X524" s="8"/>
      <c r="Y524" s="8"/>
      <c r="Z524" s="46"/>
      <c r="AA524" s="4"/>
      <c r="AB524" s="46"/>
      <c r="AC524" s="1" t="s">
        <v>1626</v>
      </c>
      <c r="AD524" s="1" t="s">
        <v>1631</v>
      </c>
      <c r="AE524" s="1" t="s">
        <v>1630</v>
      </c>
      <c r="AF524" s="1" t="s">
        <v>46</v>
      </c>
      <c r="AG524" s="1" t="s">
        <v>472</v>
      </c>
      <c r="AH524" s="36">
        <v>59901</v>
      </c>
      <c r="AI524" s="47" t="s">
        <v>1632</v>
      </c>
      <c r="AJ524" s="167">
        <v>4062356593</v>
      </c>
      <c r="AK524" s="167"/>
      <c r="AL524" s="167"/>
      <c r="AM524" s="167"/>
      <c r="AN524" s="167"/>
      <c r="AO524" s="167"/>
      <c r="AP524" s="167"/>
      <c r="AQ524" s="167"/>
      <c r="AR524" s="167"/>
      <c r="AS524" s="167"/>
      <c r="AT524" s="56"/>
      <c r="AU524" s="36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92"/>
      <c r="BG524" s="92"/>
      <c r="BH524" s="92"/>
      <c r="BI524" s="92"/>
      <c r="BJ524" s="92"/>
      <c r="BK524" s="92"/>
      <c r="BL524" s="92"/>
      <c r="BM524" s="92"/>
      <c r="BN524" s="92"/>
      <c r="BR524" s="52">
        <v>4112665</v>
      </c>
      <c r="BS524" s="52" t="e">
        <f>VLOOKUP(M524,#REF!,2,TRUE)*(BR524/1000000)</f>
        <v>#REF!</v>
      </c>
      <c r="BT524" s="43" t="e">
        <f>VLOOKUP(M524,#REF!,3,TRUE)*(BR524/1000000)</f>
        <v>#REF!</v>
      </c>
    </row>
    <row r="525" spans="1:72" s="93" customFormat="1" ht="15" customHeight="1" x14ac:dyDescent="0.25">
      <c r="A525" s="8"/>
      <c r="B525" s="36">
        <v>2020</v>
      </c>
      <c r="C525" s="154" t="s">
        <v>1032</v>
      </c>
      <c r="D525" s="1" t="s">
        <v>1614</v>
      </c>
      <c r="E525" s="1"/>
      <c r="F525" s="1" t="s">
        <v>47</v>
      </c>
      <c r="G525" s="38">
        <v>59457</v>
      </c>
      <c r="H525" s="39"/>
      <c r="I525" s="39"/>
      <c r="J525" s="1" t="s">
        <v>207</v>
      </c>
      <c r="K525" s="40">
        <v>0.09</v>
      </c>
      <c r="L525" s="36" t="s">
        <v>426</v>
      </c>
      <c r="M525" s="1" t="s">
        <v>1169</v>
      </c>
      <c r="N525" s="36" t="s">
        <v>45</v>
      </c>
      <c r="O525" s="41">
        <v>12</v>
      </c>
      <c r="P525" s="41"/>
      <c r="Q525" s="42">
        <v>2950000</v>
      </c>
      <c r="R525" s="42">
        <v>2507500</v>
      </c>
      <c r="S525" s="42"/>
      <c r="T525" s="42"/>
      <c r="U525" s="53"/>
      <c r="V525" s="45"/>
      <c r="W525" s="8"/>
      <c r="X525" s="8"/>
      <c r="Y525" s="8"/>
      <c r="Z525" s="46"/>
      <c r="AA525" s="4"/>
      <c r="AB525" s="46"/>
      <c r="AC525" s="1" t="s">
        <v>1208</v>
      </c>
      <c r="AD525" s="1" t="s">
        <v>740</v>
      </c>
      <c r="AE525" s="1" t="s">
        <v>1209</v>
      </c>
      <c r="AF525" s="1" t="s">
        <v>338</v>
      </c>
      <c r="AG525" s="1" t="s">
        <v>472</v>
      </c>
      <c r="AH525" s="36">
        <v>59808</v>
      </c>
      <c r="AI525" s="47" t="s">
        <v>1210</v>
      </c>
      <c r="AJ525" s="167">
        <v>4065324663</v>
      </c>
      <c r="AK525" s="167"/>
      <c r="AL525" s="167"/>
      <c r="AM525" s="167"/>
      <c r="AN525" s="167"/>
      <c r="AO525" s="167"/>
      <c r="AP525" s="167"/>
      <c r="AQ525" s="167"/>
      <c r="AR525" s="167"/>
      <c r="AS525" s="167"/>
      <c r="AT525" s="56"/>
      <c r="AU525" s="36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92"/>
      <c r="BG525" s="92"/>
      <c r="BH525" s="92"/>
      <c r="BI525" s="92"/>
      <c r="BJ525" s="92"/>
      <c r="BK525" s="92"/>
      <c r="BL525" s="92"/>
      <c r="BM525" s="92"/>
      <c r="BN525" s="92"/>
      <c r="BR525" s="52">
        <v>2876238</v>
      </c>
      <c r="BS525" s="52" t="e">
        <f>VLOOKUP(M525,#REF!,2,TRUE)*(BR525/1000000)</f>
        <v>#REF!</v>
      </c>
      <c r="BT525" s="43" t="e">
        <f>VLOOKUP(M525,#REF!,3,TRUE)*(BR525/1000000)</f>
        <v>#REF!</v>
      </c>
    </row>
    <row r="526" spans="1:72" s="93" customFormat="1" ht="15" customHeight="1" x14ac:dyDescent="0.25">
      <c r="A526" s="8"/>
      <c r="B526" s="36">
        <v>2020</v>
      </c>
      <c r="C526" s="154" t="s">
        <v>1032</v>
      </c>
      <c r="D526" s="1" t="s">
        <v>1615</v>
      </c>
      <c r="E526" s="1"/>
      <c r="F526" s="1" t="s">
        <v>195</v>
      </c>
      <c r="G526" s="38">
        <v>59718</v>
      </c>
      <c r="H526" s="39"/>
      <c r="I526" s="39"/>
      <c r="J526" s="1" t="s">
        <v>314</v>
      </c>
      <c r="K526" s="40">
        <v>0.09</v>
      </c>
      <c r="L526" s="36" t="s">
        <v>426</v>
      </c>
      <c r="M526" s="1" t="s">
        <v>307</v>
      </c>
      <c r="N526" s="36" t="s">
        <v>45</v>
      </c>
      <c r="O526" s="41">
        <v>41</v>
      </c>
      <c r="P526" s="41"/>
      <c r="Q526" s="42">
        <v>6300000</v>
      </c>
      <c r="R526" s="42">
        <v>5544000</v>
      </c>
      <c r="S526" s="42"/>
      <c r="T526" s="42"/>
      <c r="U526" s="53"/>
      <c r="V526" s="45"/>
      <c r="W526" s="8"/>
      <c r="X526" s="8"/>
      <c r="Y526" s="8"/>
      <c r="Z526" s="46"/>
      <c r="AA526" s="4"/>
      <c r="AB526" s="46"/>
      <c r="AC526" s="1" t="s">
        <v>1623</v>
      </c>
      <c r="AD526" s="1" t="s">
        <v>976</v>
      </c>
      <c r="AE526" s="1" t="s">
        <v>1635</v>
      </c>
      <c r="AF526" s="1" t="s">
        <v>887</v>
      </c>
      <c r="AG526" s="1" t="s">
        <v>472</v>
      </c>
      <c r="AH526" s="36">
        <v>59601</v>
      </c>
      <c r="AI526" s="47" t="s">
        <v>1636</v>
      </c>
      <c r="AJ526" s="167">
        <v>4064595332</v>
      </c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56"/>
      <c r="AU526" s="36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92"/>
      <c r="BG526" s="92"/>
      <c r="BH526" s="92"/>
      <c r="BI526" s="92"/>
      <c r="BJ526" s="92"/>
      <c r="BK526" s="92"/>
      <c r="BL526" s="92"/>
      <c r="BM526" s="92"/>
      <c r="BN526" s="92"/>
      <c r="BR526" s="52">
        <v>9840000</v>
      </c>
      <c r="BS526" s="52" t="e">
        <f>VLOOKUP(M526,#REF!,2,TRUE)*(BR526/1000000)</f>
        <v>#REF!</v>
      </c>
      <c r="BT526" s="43" t="e">
        <f>VLOOKUP(M526,#REF!,3,TRUE)*(BR526/1000000)</f>
        <v>#REF!</v>
      </c>
    </row>
    <row r="527" spans="1:72" s="93" customFormat="1" ht="15" customHeight="1" x14ac:dyDescent="0.25">
      <c r="A527" s="8"/>
      <c r="B527" s="36">
        <v>2020</v>
      </c>
      <c r="C527" s="154" t="s">
        <v>1032</v>
      </c>
      <c r="D527" s="1" t="s">
        <v>1616</v>
      </c>
      <c r="E527" s="1"/>
      <c r="F527" s="1" t="s">
        <v>886</v>
      </c>
      <c r="G527" s="38">
        <v>59741</v>
      </c>
      <c r="H527" s="39"/>
      <c r="I527" s="39"/>
      <c r="J527" s="1" t="s">
        <v>314</v>
      </c>
      <c r="K527" s="40">
        <v>0.09</v>
      </c>
      <c r="L527" s="36" t="s">
        <v>1154</v>
      </c>
      <c r="M527" s="1" t="s">
        <v>1169</v>
      </c>
      <c r="N527" s="36" t="s">
        <v>45</v>
      </c>
      <c r="O527" s="41">
        <v>23</v>
      </c>
      <c r="P527" s="41"/>
      <c r="Q527" s="42">
        <v>4870000</v>
      </c>
      <c r="R527" s="42">
        <v>4211708</v>
      </c>
      <c r="S527" s="42"/>
      <c r="T527" s="42"/>
      <c r="U527" s="53"/>
      <c r="V527" s="45"/>
      <c r="W527" s="8"/>
      <c r="X527" s="8"/>
      <c r="Y527" s="8"/>
      <c r="Z527" s="46"/>
      <c r="AA527" s="4"/>
      <c r="AB527" s="46"/>
      <c r="AC527" s="1" t="s">
        <v>1172</v>
      </c>
      <c r="AD527" s="1" t="s">
        <v>844</v>
      </c>
      <c r="AE527" s="1" t="s">
        <v>929</v>
      </c>
      <c r="AF527" s="1" t="s">
        <v>338</v>
      </c>
      <c r="AG527" s="1" t="s">
        <v>472</v>
      </c>
      <c r="AH527" s="36">
        <v>59806</v>
      </c>
      <c r="AI527" s="47" t="s">
        <v>1213</v>
      </c>
      <c r="AJ527" s="167">
        <v>4062031558</v>
      </c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56"/>
      <c r="AU527" s="36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92"/>
      <c r="BG527" s="92"/>
      <c r="BH527" s="92"/>
      <c r="BI527" s="92"/>
      <c r="BJ527" s="92"/>
      <c r="BK527" s="92"/>
      <c r="BL527" s="92"/>
      <c r="BM527" s="92"/>
      <c r="BN527" s="92"/>
      <c r="BR527" s="52">
        <v>5041914</v>
      </c>
      <c r="BS527" s="52" t="e">
        <f>VLOOKUP(M527,#REF!,2,TRUE)*(BR527/1000000)</f>
        <v>#REF!</v>
      </c>
      <c r="BT527" s="43" t="e">
        <f>VLOOKUP(M527,#REF!,3,TRUE)*(BR527/1000000)</f>
        <v>#REF!</v>
      </c>
    </row>
    <row r="528" spans="1:72" s="93" customFormat="1" ht="15" customHeight="1" x14ac:dyDescent="0.25">
      <c r="A528" s="8"/>
      <c r="B528" s="36">
        <v>2020</v>
      </c>
      <c r="C528" s="154" t="s">
        <v>1032</v>
      </c>
      <c r="D528" s="1" t="s">
        <v>1617</v>
      </c>
      <c r="E528" s="1"/>
      <c r="F528" s="1" t="s">
        <v>887</v>
      </c>
      <c r="G528" s="38">
        <v>59601</v>
      </c>
      <c r="H528" s="39"/>
      <c r="I528" s="39"/>
      <c r="J528" s="37" t="s">
        <v>913</v>
      </c>
      <c r="K528" s="40">
        <v>0.09</v>
      </c>
      <c r="L528" s="36" t="s">
        <v>1154</v>
      </c>
      <c r="M528" s="1" t="s">
        <v>1169</v>
      </c>
      <c r="N528" s="36" t="s">
        <v>1152</v>
      </c>
      <c r="O528" s="41">
        <v>36</v>
      </c>
      <c r="P528" s="41"/>
      <c r="Q528" s="42">
        <v>6050000</v>
      </c>
      <c r="R528" s="42">
        <v>5232727</v>
      </c>
      <c r="S528" s="42"/>
      <c r="T528" s="42"/>
      <c r="U528" s="53"/>
      <c r="V528" s="45"/>
      <c r="W528" s="8"/>
      <c r="X528" s="8"/>
      <c r="Y528" s="8"/>
      <c r="Z528" s="46"/>
      <c r="AA528" s="4"/>
      <c r="AB528" s="46"/>
      <c r="AC528" s="1" t="s">
        <v>1172</v>
      </c>
      <c r="AD528" s="1" t="s">
        <v>844</v>
      </c>
      <c r="AE528" s="1" t="s">
        <v>929</v>
      </c>
      <c r="AF528" s="1" t="s">
        <v>338</v>
      </c>
      <c r="AG528" s="1" t="s">
        <v>472</v>
      </c>
      <c r="AH528" s="36">
        <v>59806</v>
      </c>
      <c r="AI528" s="47" t="s">
        <v>1213</v>
      </c>
      <c r="AJ528" s="167">
        <v>4062031558</v>
      </c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56"/>
      <c r="AU528" s="36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92"/>
      <c r="BG528" s="92"/>
      <c r="BH528" s="92"/>
      <c r="BI528" s="92"/>
      <c r="BJ528" s="92"/>
      <c r="BK528" s="92"/>
      <c r="BL528" s="92"/>
      <c r="BM528" s="92"/>
      <c r="BN528" s="92"/>
      <c r="BR528" s="52">
        <v>6363667</v>
      </c>
      <c r="BS528" s="52" t="e">
        <f>VLOOKUP(M528,#REF!,2,TRUE)*(BR528/1000000)</f>
        <v>#REF!</v>
      </c>
      <c r="BT528" s="43" t="e">
        <f>VLOOKUP(M528,#REF!,3,TRUE)*(BR528/1000000)</f>
        <v>#REF!</v>
      </c>
    </row>
    <row r="529" spans="1:72" s="93" customFormat="1" ht="15" customHeight="1" x14ac:dyDescent="0.25">
      <c r="A529" s="8"/>
      <c r="B529" s="36">
        <v>2020</v>
      </c>
      <c r="C529" s="154" t="s">
        <v>1032</v>
      </c>
      <c r="D529" s="1" t="s">
        <v>1619</v>
      </c>
      <c r="E529" s="1"/>
      <c r="F529" s="1" t="s">
        <v>1039</v>
      </c>
      <c r="G529" s="38">
        <v>59044</v>
      </c>
      <c r="H529" s="39"/>
      <c r="I529" s="39"/>
      <c r="J529" s="1" t="s">
        <v>300</v>
      </c>
      <c r="K529" s="40">
        <v>0.09</v>
      </c>
      <c r="L529" s="36" t="s">
        <v>1154</v>
      </c>
      <c r="M529" s="1" t="s">
        <v>1169</v>
      </c>
      <c r="N529" s="36" t="s">
        <v>45</v>
      </c>
      <c r="O529" s="41">
        <v>30</v>
      </c>
      <c r="P529" s="41"/>
      <c r="Q529" s="42">
        <v>6125000</v>
      </c>
      <c r="R529" s="42">
        <v>5297065</v>
      </c>
      <c r="S529" s="42"/>
      <c r="T529" s="42"/>
      <c r="U529" s="53"/>
      <c r="V529" s="45"/>
      <c r="W529" s="8"/>
      <c r="X529" s="8"/>
      <c r="Y529" s="8"/>
      <c r="Z529" s="46"/>
      <c r="AA529" s="4"/>
      <c r="AB529" s="46"/>
      <c r="AC529" s="1" t="s">
        <v>1172</v>
      </c>
      <c r="AD529" s="1" t="s">
        <v>844</v>
      </c>
      <c r="AE529" s="1" t="s">
        <v>929</v>
      </c>
      <c r="AF529" s="1" t="s">
        <v>338</v>
      </c>
      <c r="AG529" s="1" t="s">
        <v>472</v>
      </c>
      <c r="AH529" s="36">
        <v>59806</v>
      </c>
      <c r="AI529" s="47" t="s">
        <v>1213</v>
      </c>
      <c r="AJ529" s="167">
        <v>4062031558</v>
      </c>
      <c r="AK529" s="167"/>
      <c r="AL529" s="167"/>
      <c r="AM529" s="167"/>
      <c r="AN529" s="167"/>
      <c r="AO529" s="167"/>
      <c r="AP529" s="167"/>
      <c r="AQ529" s="167"/>
      <c r="AR529" s="167"/>
      <c r="AS529" s="167"/>
      <c r="AT529" s="56"/>
      <c r="AU529" s="36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92"/>
      <c r="BG529" s="92"/>
      <c r="BH529" s="92"/>
      <c r="BI529" s="92"/>
      <c r="BJ529" s="92"/>
      <c r="BK529" s="92"/>
      <c r="BL529" s="92"/>
      <c r="BM529" s="92"/>
      <c r="BN529" s="92"/>
      <c r="BR529" s="52">
        <v>6378090</v>
      </c>
      <c r="BS529" s="52" t="e">
        <f>VLOOKUP(M529,#REF!,2,TRUE)*(BR529/1000000)</f>
        <v>#REF!</v>
      </c>
      <c r="BT529" s="43" t="e">
        <f>VLOOKUP(M529,#REF!,3,TRUE)*(BR529/1000000)</f>
        <v>#REF!</v>
      </c>
    </row>
    <row r="530" spans="1:72" s="93" customFormat="1" ht="15" customHeight="1" x14ac:dyDescent="0.25">
      <c r="A530" s="8"/>
      <c r="B530" s="36">
        <v>2020</v>
      </c>
      <c r="C530" s="154" t="s">
        <v>1032</v>
      </c>
      <c r="D530" s="1" t="s">
        <v>1621</v>
      </c>
      <c r="E530" s="1"/>
      <c r="F530" s="1" t="s">
        <v>912</v>
      </c>
      <c r="G530" s="38">
        <v>59840</v>
      </c>
      <c r="H530" s="39"/>
      <c r="I530" s="39"/>
      <c r="J530" s="1" t="s">
        <v>356</v>
      </c>
      <c r="K530" s="40">
        <v>0.09</v>
      </c>
      <c r="L530" s="36" t="s">
        <v>426</v>
      </c>
      <c r="M530" s="1" t="s">
        <v>1169</v>
      </c>
      <c r="N530" s="36" t="s">
        <v>45</v>
      </c>
      <c r="O530" s="41">
        <v>30</v>
      </c>
      <c r="P530" s="41"/>
      <c r="Q530" s="42">
        <v>6300000</v>
      </c>
      <c r="R530" s="42">
        <v>5418000</v>
      </c>
      <c r="S530" s="42"/>
      <c r="T530" s="42"/>
      <c r="U530" s="53"/>
      <c r="V530" s="45"/>
      <c r="W530" s="8"/>
      <c r="X530" s="8"/>
      <c r="Y530" s="8"/>
      <c r="Z530" s="46"/>
      <c r="AA530" s="4"/>
      <c r="AB530" s="46"/>
      <c r="AC530" s="1" t="s">
        <v>1173</v>
      </c>
      <c r="AD530" s="1" t="s">
        <v>1220</v>
      </c>
      <c r="AE530" s="1" t="s">
        <v>1221</v>
      </c>
      <c r="AF530" s="1" t="s">
        <v>887</v>
      </c>
      <c r="AG530" s="1" t="s">
        <v>472</v>
      </c>
      <c r="AH530" s="36">
        <v>59602</v>
      </c>
      <c r="AI530" s="47" t="s">
        <v>1222</v>
      </c>
      <c r="AJ530" s="167">
        <v>4064312151</v>
      </c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56"/>
      <c r="AU530" s="36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92"/>
      <c r="BG530" s="92"/>
      <c r="BH530" s="92"/>
      <c r="BI530" s="92"/>
      <c r="BJ530" s="92"/>
      <c r="BK530" s="92"/>
      <c r="BL530" s="92"/>
      <c r="BM530" s="92"/>
      <c r="BN530" s="92"/>
      <c r="BR530" s="52">
        <v>6963000</v>
      </c>
      <c r="BS530" s="52" t="e">
        <f>VLOOKUP(M530,#REF!,2,TRUE)*(BR530/1000000)</f>
        <v>#REF!</v>
      </c>
      <c r="BT530" s="43" t="e">
        <f>VLOOKUP(M530,#REF!,3,TRUE)*(BR530/1000000)</f>
        <v>#REF!</v>
      </c>
    </row>
    <row r="531" spans="1:72" s="93" customFormat="1" ht="15" customHeight="1" x14ac:dyDescent="0.25">
      <c r="A531" s="8"/>
      <c r="B531" s="36">
        <v>2020</v>
      </c>
      <c r="C531" s="154" t="s">
        <v>1032</v>
      </c>
      <c r="D531" s="1" t="s">
        <v>1622</v>
      </c>
      <c r="E531" s="1"/>
      <c r="F531" s="1" t="s">
        <v>760</v>
      </c>
      <c r="G531" s="38">
        <v>59501</v>
      </c>
      <c r="H531" s="39"/>
      <c r="I531" s="39"/>
      <c r="J531" s="1" t="s">
        <v>303</v>
      </c>
      <c r="K531" s="40">
        <v>0.09</v>
      </c>
      <c r="L531" s="36" t="s">
        <v>426</v>
      </c>
      <c r="M531" s="1" t="s">
        <v>1169</v>
      </c>
      <c r="N531" s="36" t="s">
        <v>45</v>
      </c>
      <c r="O531" s="41">
        <v>25</v>
      </c>
      <c r="P531" s="41"/>
      <c r="Q531" s="42">
        <v>5950000</v>
      </c>
      <c r="R531" s="42">
        <v>5130000</v>
      </c>
      <c r="S531" s="42"/>
      <c r="T531" s="42"/>
      <c r="U531" s="53"/>
      <c r="V531" s="45"/>
      <c r="W531" s="8"/>
      <c r="X531" s="8"/>
      <c r="Y531" s="8"/>
      <c r="Z531" s="46"/>
      <c r="AA531" s="4"/>
      <c r="AB531" s="46"/>
      <c r="AC531" s="1" t="s">
        <v>1629</v>
      </c>
      <c r="AD531" s="1" t="s">
        <v>1641</v>
      </c>
      <c r="AE531" s="1" t="s">
        <v>1640</v>
      </c>
      <c r="AF531" s="1" t="s">
        <v>887</v>
      </c>
      <c r="AG531" s="1" t="s">
        <v>472</v>
      </c>
      <c r="AH531" s="36">
        <v>59601</v>
      </c>
      <c r="AI531" s="47" t="s">
        <v>1642</v>
      </c>
      <c r="AJ531" s="167">
        <v>7036091046</v>
      </c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56"/>
      <c r="AU531" s="36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92"/>
      <c r="BG531" s="92"/>
      <c r="BH531" s="92"/>
      <c r="BI531" s="92"/>
      <c r="BJ531" s="92"/>
      <c r="BK531" s="92"/>
      <c r="BL531" s="92"/>
      <c r="BM531" s="92"/>
      <c r="BN531" s="92"/>
      <c r="BR531" s="52">
        <v>5961700</v>
      </c>
      <c r="BS531" s="52" t="e">
        <f>VLOOKUP(M531,#REF!,2,TRUE)*(BR531/1000000)</f>
        <v>#REF!</v>
      </c>
      <c r="BT531" s="43" t="e">
        <f>VLOOKUP(M531,#REF!,3,TRUE)*(BR531/1000000)</f>
        <v>#REF!</v>
      </c>
    </row>
    <row r="532" spans="1:72" s="93" customFormat="1" ht="15" customHeight="1" x14ac:dyDescent="0.25">
      <c r="A532" s="8"/>
      <c r="B532" s="36">
        <v>2020</v>
      </c>
      <c r="C532" s="154" t="s">
        <v>1032</v>
      </c>
      <c r="D532" s="1" t="s">
        <v>1171</v>
      </c>
      <c r="E532" s="1"/>
      <c r="F532" s="1" t="s">
        <v>46</v>
      </c>
      <c r="G532" s="38">
        <v>59901</v>
      </c>
      <c r="H532" s="39"/>
      <c r="I532" s="39"/>
      <c r="J532" s="1" t="s">
        <v>343</v>
      </c>
      <c r="K532" s="40">
        <v>0.09</v>
      </c>
      <c r="L532" s="36" t="s">
        <v>1154</v>
      </c>
      <c r="M532" s="1" t="s">
        <v>1169</v>
      </c>
      <c r="N532" s="36" t="s">
        <v>1152</v>
      </c>
      <c r="O532" s="41">
        <v>42</v>
      </c>
      <c r="P532" s="41"/>
      <c r="Q532" s="42">
        <v>6200000</v>
      </c>
      <c r="R532" s="42">
        <v>5362464</v>
      </c>
      <c r="S532" s="42"/>
      <c r="T532" s="42"/>
      <c r="U532" s="53"/>
      <c r="V532" s="45"/>
      <c r="W532" s="8"/>
      <c r="X532" s="8"/>
      <c r="Y532" s="8"/>
      <c r="Z532" s="46"/>
      <c r="AA532" s="4"/>
      <c r="AB532" s="46"/>
      <c r="AC532" s="1" t="s">
        <v>1172</v>
      </c>
      <c r="AD532" s="1" t="s">
        <v>844</v>
      </c>
      <c r="AE532" s="1" t="s">
        <v>929</v>
      </c>
      <c r="AF532" s="1" t="s">
        <v>338</v>
      </c>
      <c r="AG532" s="1" t="s">
        <v>472</v>
      </c>
      <c r="AH532" s="36">
        <v>59806</v>
      </c>
      <c r="AI532" s="47" t="s">
        <v>1213</v>
      </c>
      <c r="AJ532" s="167">
        <v>4062031558</v>
      </c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56"/>
      <c r="AU532" s="36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92"/>
      <c r="BG532" s="92"/>
      <c r="BH532" s="92"/>
      <c r="BI532" s="92"/>
      <c r="BJ532" s="92"/>
      <c r="BK532" s="92"/>
      <c r="BL532" s="92"/>
      <c r="BM532" s="92"/>
      <c r="BN532" s="92"/>
      <c r="BR532" s="52">
        <v>6848277</v>
      </c>
      <c r="BS532" s="52" t="e">
        <f>VLOOKUP(M532,#REF!,2,TRUE)*(BR532/1000000)</f>
        <v>#REF!</v>
      </c>
      <c r="BT532" s="43" t="e">
        <f>VLOOKUP(M532,#REF!,3,TRUE)*(BR532/1000000)</f>
        <v>#REF!</v>
      </c>
    </row>
    <row r="533" spans="1:72" ht="15" customHeight="1" x14ac:dyDescent="0.25">
      <c r="A533" s="6"/>
      <c r="B533" s="35">
        <v>2021</v>
      </c>
      <c r="C533" s="154" t="s">
        <v>1032</v>
      </c>
      <c r="D533" s="37" t="s">
        <v>1660</v>
      </c>
      <c r="E533" s="36"/>
      <c r="F533" s="37" t="s">
        <v>192</v>
      </c>
      <c r="J533" s="37" t="s">
        <v>300</v>
      </c>
      <c r="K533" s="57">
        <v>0.09</v>
      </c>
      <c r="L533" s="58" t="s">
        <v>426</v>
      </c>
      <c r="M533" s="1" t="s">
        <v>1169</v>
      </c>
      <c r="N533" s="59" t="s">
        <v>45</v>
      </c>
      <c r="O533" s="41">
        <v>18</v>
      </c>
      <c r="P533" s="35"/>
      <c r="Q533" s="42">
        <v>3500000</v>
      </c>
      <c r="R533" s="42">
        <v>3080000</v>
      </c>
      <c r="S533" s="42"/>
      <c r="T533" s="168"/>
      <c r="U533" s="169"/>
      <c r="V533" s="170"/>
      <c r="W533" s="6"/>
      <c r="X533" s="6"/>
      <c r="Y533" s="6"/>
      <c r="Z533" s="171"/>
      <c r="AA533" s="2"/>
      <c r="AB533" s="171"/>
      <c r="AC533" s="1" t="s">
        <v>1675</v>
      </c>
      <c r="AD533" s="1" t="s">
        <v>740</v>
      </c>
      <c r="AF533" s="1" t="s">
        <v>338</v>
      </c>
      <c r="AG533" s="1" t="s">
        <v>472</v>
      </c>
      <c r="AH533" s="36">
        <v>59801</v>
      </c>
      <c r="AI533" s="47" t="s">
        <v>1210</v>
      </c>
      <c r="AJ533" s="167">
        <v>4065324663</v>
      </c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72"/>
      <c r="AU533" s="173"/>
      <c r="AW533" s="10"/>
      <c r="BR533" s="52">
        <v>3895015</v>
      </c>
      <c r="BS533" s="52" t="e">
        <f>VLOOKUP(M533,#REF!,2,TRUE)*(BR533/1000000)</f>
        <v>#REF!</v>
      </c>
      <c r="BT533" s="43" t="e">
        <f>VLOOKUP(M533,#REF!,3,TRUE)*(BR533/1000000)</f>
        <v>#REF!</v>
      </c>
    </row>
    <row r="534" spans="1:72" ht="15" customHeight="1" x14ac:dyDescent="0.25">
      <c r="A534" s="6"/>
      <c r="B534" s="35">
        <v>2021</v>
      </c>
      <c r="C534" s="154" t="s">
        <v>1032</v>
      </c>
      <c r="D534" s="37" t="s">
        <v>1661</v>
      </c>
      <c r="E534" s="36"/>
      <c r="F534" s="37" t="s">
        <v>60</v>
      </c>
      <c r="J534" s="37" t="s">
        <v>437</v>
      </c>
      <c r="K534" s="57">
        <v>0.09</v>
      </c>
      <c r="L534" s="58" t="s">
        <v>1154</v>
      </c>
      <c r="M534" s="1" t="s">
        <v>1169</v>
      </c>
      <c r="N534" s="59" t="s">
        <v>1152</v>
      </c>
      <c r="O534" s="41">
        <v>36</v>
      </c>
      <c r="P534" s="35"/>
      <c r="Q534" s="42">
        <v>6435000</v>
      </c>
      <c r="R534" s="42">
        <v>5565718</v>
      </c>
      <c r="S534" s="42"/>
      <c r="T534" s="168"/>
      <c r="U534" s="169"/>
      <c r="V534" s="170"/>
      <c r="W534" s="6"/>
      <c r="X534" s="6"/>
      <c r="Y534" s="6"/>
      <c r="Z534" s="171"/>
      <c r="AA534" s="2"/>
      <c r="AB534" s="171"/>
      <c r="AC534" s="174" t="s">
        <v>1172</v>
      </c>
      <c r="AD534" s="1" t="s">
        <v>844</v>
      </c>
      <c r="AF534" s="1" t="s">
        <v>338</v>
      </c>
      <c r="AG534" s="1" t="s">
        <v>472</v>
      </c>
      <c r="AH534" s="36">
        <v>59806</v>
      </c>
      <c r="AI534" s="47" t="s">
        <v>1213</v>
      </c>
      <c r="AJ534" s="167">
        <v>4062031558</v>
      </c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72"/>
      <c r="AU534" s="173"/>
      <c r="AW534" s="10"/>
      <c r="BR534" s="52">
        <v>6992918</v>
      </c>
      <c r="BS534" s="52" t="e">
        <f>VLOOKUP(M534,#REF!,2,TRUE)*(BR534/1000000)</f>
        <v>#REF!</v>
      </c>
      <c r="BT534" s="43" t="e">
        <f>VLOOKUP(M534,#REF!,3,TRUE)*(BR534/1000000)</f>
        <v>#REF!</v>
      </c>
    </row>
    <row r="535" spans="1:72" ht="15" customHeight="1" x14ac:dyDescent="0.25">
      <c r="A535" s="6"/>
      <c r="B535" s="35">
        <v>2021</v>
      </c>
      <c r="C535" s="154" t="s">
        <v>1032</v>
      </c>
      <c r="D535" s="37" t="s">
        <v>1253</v>
      </c>
      <c r="E535" s="36"/>
      <c r="F535" s="37" t="s">
        <v>760</v>
      </c>
      <c r="J535" s="37" t="s">
        <v>303</v>
      </c>
      <c r="K535" s="57">
        <v>0.09</v>
      </c>
      <c r="L535" s="58" t="s">
        <v>426</v>
      </c>
      <c r="M535" s="88" t="s">
        <v>307</v>
      </c>
      <c r="N535" s="59" t="s">
        <v>45</v>
      </c>
      <c r="O535" s="41">
        <v>60</v>
      </c>
      <c r="P535" s="35"/>
      <c r="Q535" s="42">
        <v>800000</v>
      </c>
      <c r="R535" s="42">
        <v>7659932</v>
      </c>
      <c r="S535" s="42"/>
      <c r="T535" s="168"/>
      <c r="U535" s="169"/>
      <c r="V535" s="170"/>
      <c r="W535" s="6"/>
      <c r="X535" s="6"/>
      <c r="Y535" s="6"/>
      <c r="Z535" s="171"/>
      <c r="AA535" s="2"/>
      <c r="AB535" s="171"/>
      <c r="AC535" s="37" t="s">
        <v>1676</v>
      </c>
      <c r="AD535" s="1" t="s">
        <v>947</v>
      </c>
      <c r="AF535" s="1" t="s">
        <v>1194</v>
      </c>
      <c r="AG535" s="1" t="s">
        <v>72</v>
      </c>
      <c r="AH535" s="36">
        <v>48072</v>
      </c>
      <c r="AI535" s="47" t="s">
        <v>1195</v>
      </c>
      <c r="AJ535" s="167" t="s">
        <v>1666</v>
      </c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50"/>
      <c r="AU535" s="35"/>
      <c r="AW535" s="10"/>
      <c r="BR535" s="52">
        <v>7659932</v>
      </c>
      <c r="BS535" s="52" t="e">
        <f>VLOOKUP(M535,#REF!,2,TRUE)*(BR535/1000000)</f>
        <v>#REF!</v>
      </c>
      <c r="BT535" s="43" t="e">
        <f>VLOOKUP(M535,#REF!,3,TRUE)*(BR535/1000000)</f>
        <v>#REF!</v>
      </c>
    </row>
    <row r="536" spans="1:72" ht="15" customHeight="1" x14ac:dyDescent="0.25">
      <c r="A536" s="6"/>
      <c r="B536" s="35">
        <v>2021</v>
      </c>
      <c r="C536" s="154" t="s">
        <v>1032</v>
      </c>
      <c r="D536" s="37" t="s">
        <v>1662</v>
      </c>
      <c r="E536" s="36"/>
      <c r="F536" s="37" t="s">
        <v>1262</v>
      </c>
      <c r="J536" s="37" t="s">
        <v>420</v>
      </c>
      <c r="K536" s="57">
        <v>0.09</v>
      </c>
      <c r="L536" s="58" t="s">
        <v>426</v>
      </c>
      <c r="M536" s="88" t="s">
        <v>307</v>
      </c>
      <c r="N536" s="59" t="s">
        <v>1152</v>
      </c>
      <c r="O536" s="41">
        <v>24</v>
      </c>
      <c r="P536" s="35"/>
      <c r="Q536" s="42">
        <v>3735630</v>
      </c>
      <c r="R536" s="42">
        <v>3175287</v>
      </c>
      <c r="S536" s="42"/>
      <c r="T536" s="168"/>
      <c r="U536" s="169"/>
      <c r="V536" s="170"/>
      <c r="W536" s="6"/>
      <c r="X536" s="6"/>
      <c r="Y536" s="6"/>
      <c r="Z536" s="171"/>
      <c r="AA536" s="2"/>
      <c r="AB536" s="171"/>
      <c r="AC536" s="174" t="s">
        <v>1626</v>
      </c>
      <c r="AD536" s="1" t="s">
        <v>1631</v>
      </c>
      <c r="AF536" s="1" t="s">
        <v>46</v>
      </c>
      <c r="AG536" s="1" t="s">
        <v>472</v>
      </c>
      <c r="AH536" s="36">
        <v>59901</v>
      </c>
      <c r="AI536" s="47" t="s">
        <v>1632</v>
      </c>
      <c r="AJ536" s="167">
        <v>4062356593</v>
      </c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50"/>
      <c r="AU536" s="35"/>
      <c r="AW536" s="10"/>
      <c r="BR536" s="52">
        <v>4521369</v>
      </c>
      <c r="BS536" s="52" t="e">
        <f>VLOOKUP(M536,#REF!,2,TRUE)*(BR536/1000000)</f>
        <v>#REF!</v>
      </c>
      <c r="BT536" s="43" t="e">
        <f>VLOOKUP(M536,#REF!,3,TRUE)*(BR536/1000000)</f>
        <v>#REF!</v>
      </c>
    </row>
    <row r="537" spans="1:72" ht="15" customHeight="1" x14ac:dyDescent="0.25">
      <c r="A537" s="6"/>
      <c r="B537" s="35">
        <v>2021</v>
      </c>
      <c r="C537" s="154" t="s">
        <v>1032</v>
      </c>
      <c r="D537" s="37" t="s">
        <v>1663</v>
      </c>
      <c r="E537" s="36"/>
      <c r="F537" s="37" t="s">
        <v>192</v>
      </c>
      <c r="J537" s="37" t="s">
        <v>300</v>
      </c>
      <c r="K537" s="57">
        <v>0.09</v>
      </c>
      <c r="L537" s="58" t="s">
        <v>1154</v>
      </c>
      <c r="M537" s="1" t="s">
        <v>1169</v>
      </c>
      <c r="N537" s="59" t="s">
        <v>45</v>
      </c>
      <c r="O537" s="41">
        <v>30</v>
      </c>
      <c r="P537" s="35"/>
      <c r="Q537" s="42">
        <v>6250000</v>
      </c>
      <c r="R537" s="42">
        <v>5405709</v>
      </c>
      <c r="S537" s="42"/>
      <c r="T537" s="168"/>
      <c r="U537" s="169"/>
      <c r="V537" s="170"/>
      <c r="W537" s="6"/>
      <c r="X537" s="6"/>
      <c r="Y537" s="6"/>
      <c r="Z537" s="171"/>
      <c r="AA537" s="2"/>
      <c r="AB537" s="171"/>
      <c r="AC537" s="37" t="s">
        <v>1172</v>
      </c>
      <c r="AD537" s="1" t="s">
        <v>844</v>
      </c>
      <c r="AF537" s="1" t="s">
        <v>338</v>
      </c>
      <c r="AG537" s="1" t="s">
        <v>472</v>
      </c>
      <c r="AH537" s="36">
        <v>59806</v>
      </c>
      <c r="AI537" s="47" t="s">
        <v>1213</v>
      </c>
      <c r="AJ537" s="167">
        <v>4062031558</v>
      </c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50"/>
      <c r="AU537" s="35"/>
      <c r="AW537" s="10"/>
      <c r="BR537" s="52">
        <v>6886666</v>
      </c>
      <c r="BS537" s="52" t="e">
        <f>VLOOKUP(M537,#REF!,2,TRUE)*(BR537/1000000)</f>
        <v>#REF!</v>
      </c>
      <c r="BT537" s="43" t="e">
        <f>VLOOKUP(M537,#REF!,3,TRUE)*(BR537/1000000)</f>
        <v>#REF!</v>
      </c>
    </row>
    <row r="538" spans="1:72" ht="15" customHeight="1" x14ac:dyDescent="0.25">
      <c r="A538" s="6"/>
      <c r="B538" s="35">
        <v>2021</v>
      </c>
      <c r="C538" s="154" t="s">
        <v>1032</v>
      </c>
      <c r="D538" s="37" t="s">
        <v>1664</v>
      </c>
      <c r="E538" s="36"/>
      <c r="F538" s="37" t="s">
        <v>192</v>
      </c>
      <c r="J538" s="37" t="s">
        <v>300</v>
      </c>
      <c r="K538" s="57">
        <v>0.09</v>
      </c>
      <c r="L538" s="58" t="s">
        <v>426</v>
      </c>
      <c r="M538" s="1" t="s">
        <v>1169</v>
      </c>
      <c r="N538" s="59" t="s">
        <v>45</v>
      </c>
      <c r="O538" s="41">
        <v>32</v>
      </c>
      <c r="P538" s="35"/>
      <c r="Q538" s="42">
        <v>6435000</v>
      </c>
      <c r="R538" s="42">
        <v>5662234</v>
      </c>
      <c r="S538" s="42"/>
      <c r="T538" s="168"/>
      <c r="U538" s="169"/>
      <c r="V538" s="170"/>
      <c r="W538" s="6"/>
      <c r="X538" s="6"/>
      <c r="Y538" s="6"/>
      <c r="Z538" s="171"/>
      <c r="AA538" s="2"/>
      <c r="AB538" s="171"/>
      <c r="AC538" s="174" t="s">
        <v>931</v>
      </c>
      <c r="AD538" s="1" t="s">
        <v>982</v>
      </c>
      <c r="AF538" s="1" t="s">
        <v>192</v>
      </c>
      <c r="AG538" s="1" t="s">
        <v>472</v>
      </c>
      <c r="AH538" s="36">
        <v>59101</v>
      </c>
      <c r="AI538" s="47" t="s">
        <v>1667</v>
      </c>
      <c r="AJ538" s="167" t="s">
        <v>1668</v>
      </c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50"/>
      <c r="AU538" s="35"/>
      <c r="AW538" s="10"/>
      <c r="BR538" s="52">
        <v>6895028</v>
      </c>
      <c r="BS538" s="52" t="e">
        <f>VLOOKUP(M538,#REF!,2,TRUE)*(BR538/1000000)</f>
        <v>#REF!</v>
      </c>
      <c r="BT538" s="43" t="e">
        <f>VLOOKUP(M538,#REF!,3,TRUE)*(BR538/1000000)</f>
        <v>#REF!</v>
      </c>
    </row>
    <row r="539" spans="1:72" ht="15" customHeight="1" x14ac:dyDescent="0.25">
      <c r="A539" s="6"/>
      <c r="B539" s="35">
        <v>2021</v>
      </c>
      <c r="C539" s="154" t="s">
        <v>1032</v>
      </c>
      <c r="D539" s="37" t="s">
        <v>1679</v>
      </c>
      <c r="E539" s="36"/>
      <c r="F539" s="37" t="s">
        <v>46</v>
      </c>
      <c r="J539" s="37" t="s">
        <v>343</v>
      </c>
      <c r="K539" s="57">
        <v>0.09</v>
      </c>
      <c r="L539" s="58" t="s">
        <v>1154</v>
      </c>
      <c r="M539" s="1" t="s">
        <v>1169</v>
      </c>
      <c r="N539" s="59" t="s">
        <v>45</v>
      </c>
      <c r="O539" s="41">
        <v>24</v>
      </c>
      <c r="P539" s="35"/>
      <c r="Q539" s="42">
        <v>6435000</v>
      </c>
      <c r="R539" s="42">
        <v>5352835</v>
      </c>
      <c r="S539" s="42"/>
      <c r="T539" s="168"/>
      <c r="U539" s="169"/>
      <c r="V539" s="170"/>
      <c r="W539" s="6"/>
      <c r="X539" s="6"/>
      <c r="Y539" s="6"/>
      <c r="Z539" s="171"/>
      <c r="AA539" s="2"/>
      <c r="AB539" s="171"/>
      <c r="AC539" s="37" t="s">
        <v>1677</v>
      </c>
      <c r="AD539" s="1" t="s">
        <v>1669</v>
      </c>
      <c r="AF539" s="1" t="s">
        <v>793</v>
      </c>
      <c r="AG539" s="1" t="s">
        <v>474</v>
      </c>
      <c r="AH539" s="36">
        <v>98101</v>
      </c>
      <c r="AI539" s="47" t="s">
        <v>1670</v>
      </c>
      <c r="AJ539" s="167" t="s">
        <v>1671</v>
      </c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50"/>
      <c r="AU539" s="35"/>
      <c r="AW539" s="10"/>
      <c r="BR539" s="52">
        <v>6794354</v>
      </c>
      <c r="BS539" s="52" t="e">
        <f>VLOOKUP(M539,#REF!,2,TRUE)*(BR539/1000000)</f>
        <v>#REF!</v>
      </c>
      <c r="BT539" s="43" t="e">
        <f>VLOOKUP(M539,#REF!,3,TRUE)*(BR539/1000000)</f>
        <v>#REF!</v>
      </c>
    </row>
    <row r="540" spans="1:72" ht="15" customHeight="1" x14ac:dyDescent="0.25">
      <c r="A540" s="6"/>
      <c r="B540" s="35">
        <v>2021</v>
      </c>
      <c r="C540" s="154" t="s">
        <v>1032</v>
      </c>
      <c r="D540" s="37" t="s">
        <v>1680</v>
      </c>
      <c r="E540" s="36"/>
      <c r="F540" s="37" t="s">
        <v>46</v>
      </c>
      <c r="J540" s="37" t="s">
        <v>343</v>
      </c>
      <c r="K540" s="57">
        <v>0.04</v>
      </c>
      <c r="L540" s="58" t="s">
        <v>1154</v>
      </c>
      <c r="M540" s="1" t="s">
        <v>1169</v>
      </c>
      <c r="N540" s="59" t="s">
        <v>45</v>
      </c>
      <c r="O540" s="41">
        <v>72</v>
      </c>
      <c r="P540" s="35"/>
      <c r="Q540" s="42">
        <v>3751190</v>
      </c>
      <c r="R540" s="42">
        <v>3600237</v>
      </c>
      <c r="S540" s="42"/>
      <c r="T540" s="168"/>
      <c r="U540" s="169"/>
      <c r="V540" s="170"/>
      <c r="W540" s="6"/>
      <c r="X540" s="6"/>
      <c r="Y540" s="6"/>
      <c r="Z540" s="171"/>
      <c r="AA540" s="2"/>
      <c r="AB540" s="171"/>
      <c r="AC540" s="37" t="s">
        <v>1677</v>
      </c>
      <c r="AD540" s="1" t="s">
        <v>1669</v>
      </c>
      <c r="AF540" s="1" t="s">
        <v>793</v>
      </c>
      <c r="AG540" s="1" t="s">
        <v>474</v>
      </c>
      <c r="AH540" s="36">
        <v>98101</v>
      </c>
      <c r="AI540" s="47" t="s">
        <v>1670</v>
      </c>
      <c r="AJ540" s="167" t="s">
        <v>1671</v>
      </c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50"/>
      <c r="AU540" s="35"/>
      <c r="AW540" s="10"/>
      <c r="BR540" s="52">
        <v>13000543</v>
      </c>
      <c r="BS540" s="52" t="e">
        <f>VLOOKUP(M540,#REF!,2,TRUE)*(BR540/1000000)</f>
        <v>#REF!</v>
      </c>
      <c r="BT540" s="43" t="e">
        <f>VLOOKUP(M540,#REF!,3,TRUE)*(BR540/1000000)</f>
        <v>#REF!</v>
      </c>
    </row>
    <row r="541" spans="1:72" ht="15" customHeight="1" x14ac:dyDescent="0.25">
      <c r="A541" s="6"/>
      <c r="B541" s="35">
        <v>2021</v>
      </c>
      <c r="C541" s="154" t="s">
        <v>1032</v>
      </c>
      <c r="D541" s="37" t="s">
        <v>1665</v>
      </c>
      <c r="E541" s="36"/>
      <c r="F541" s="37" t="s">
        <v>133</v>
      </c>
      <c r="J541" s="37" t="s">
        <v>361</v>
      </c>
      <c r="K541" s="57">
        <v>0.09</v>
      </c>
      <c r="L541" s="58" t="s">
        <v>454</v>
      </c>
      <c r="M541" s="1" t="s">
        <v>1169</v>
      </c>
      <c r="N541" s="59" t="s">
        <v>45</v>
      </c>
      <c r="O541" s="41">
        <v>30</v>
      </c>
      <c r="P541" s="35"/>
      <c r="Q541" s="42">
        <v>6192635</v>
      </c>
      <c r="R541" s="42">
        <v>5015763</v>
      </c>
      <c r="S541" s="42"/>
      <c r="T541" s="168"/>
      <c r="U541" s="169"/>
      <c r="V541" s="170"/>
      <c r="W541" s="6"/>
      <c r="X541" s="6"/>
      <c r="Y541" s="6"/>
      <c r="Z541" s="171"/>
      <c r="AA541" s="2"/>
      <c r="AB541" s="171"/>
      <c r="AC541" s="174" t="s">
        <v>1678</v>
      </c>
      <c r="AD541" s="1" t="s">
        <v>1672</v>
      </c>
      <c r="AF541" s="1" t="s">
        <v>133</v>
      </c>
      <c r="AG541" s="1" t="s">
        <v>472</v>
      </c>
      <c r="AH541" s="36">
        <v>59417</v>
      </c>
      <c r="AI541" s="47" t="s">
        <v>1673</v>
      </c>
      <c r="AJ541" s="167" t="s">
        <v>1674</v>
      </c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50"/>
      <c r="AU541" s="35"/>
      <c r="AW541" s="10"/>
      <c r="BR541" s="52">
        <v>5754849</v>
      </c>
      <c r="BS541" s="52" t="e">
        <f>VLOOKUP(M541,#REF!,2,TRUE)*(BR541/1000000)</f>
        <v>#REF!</v>
      </c>
      <c r="BT541" s="43" t="e">
        <f>VLOOKUP(M541,#REF!,3,TRUE)*(BR541/1000000)</f>
        <v>#REF!</v>
      </c>
    </row>
    <row r="542" spans="1:72" ht="15" customHeight="1" x14ac:dyDescent="0.25">
      <c r="A542" s="6"/>
      <c r="B542" s="35">
        <v>2022</v>
      </c>
      <c r="C542" s="154" t="s">
        <v>1032</v>
      </c>
      <c r="D542" s="37" t="s">
        <v>1767</v>
      </c>
      <c r="F542" s="37" t="s">
        <v>1044</v>
      </c>
      <c r="J542" s="37" t="s">
        <v>383</v>
      </c>
      <c r="K542" s="57">
        <v>0.09</v>
      </c>
      <c r="L542" s="58" t="s">
        <v>1154</v>
      </c>
      <c r="M542" s="1" t="s">
        <v>742</v>
      </c>
      <c r="N542" s="59" t="s">
        <v>45</v>
      </c>
      <c r="O542" s="41">
        <v>12</v>
      </c>
      <c r="P542" s="35"/>
      <c r="Q542" s="42">
        <v>2960000</v>
      </c>
      <c r="R542" s="86"/>
      <c r="S542" s="42"/>
      <c r="T542" s="42"/>
      <c r="W542" s="6"/>
      <c r="X542" s="6"/>
      <c r="Y542" s="6"/>
      <c r="Z542" s="171"/>
      <c r="AA542" s="2"/>
      <c r="AB542" s="171"/>
      <c r="AC542" s="1" t="s">
        <v>1173</v>
      </c>
      <c r="AD542" s="1" t="s">
        <v>1220</v>
      </c>
      <c r="AF542" s="1" t="s">
        <v>887</v>
      </c>
      <c r="AG542" s="1" t="s">
        <v>472</v>
      </c>
      <c r="AI542" s="47" t="s">
        <v>1222</v>
      </c>
      <c r="AJ542" s="1" t="s">
        <v>1802</v>
      </c>
      <c r="AT542" s="50"/>
      <c r="AU542" s="35"/>
      <c r="AW542" s="10"/>
    </row>
    <row r="543" spans="1:72" ht="15" customHeight="1" x14ac:dyDescent="0.25">
      <c r="A543" s="6"/>
      <c r="B543" s="35">
        <v>2022</v>
      </c>
      <c r="C543" s="154" t="s">
        <v>1032</v>
      </c>
      <c r="D543" s="37" t="s">
        <v>1768</v>
      </c>
      <c r="F543" s="37" t="s">
        <v>46</v>
      </c>
      <c r="J543" s="37" t="s">
        <v>343</v>
      </c>
      <c r="K543" s="57">
        <v>0.09</v>
      </c>
      <c r="L543" s="58" t="s">
        <v>1154</v>
      </c>
      <c r="M543" s="1" t="s">
        <v>298</v>
      </c>
      <c r="N543" s="59" t="s">
        <v>45</v>
      </c>
      <c r="O543" s="41">
        <v>30</v>
      </c>
      <c r="P543" s="35"/>
      <c r="Q543" s="42">
        <v>6400000</v>
      </c>
      <c r="R543" s="86"/>
      <c r="S543" s="42"/>
      <c r="T543" s="42"/>
      <c r="W543" s="6"/>
      <c r="X543" s="6"/>
      <c r="Y543" s="6"/>
      <c r="Z543" s="171"/>
      <c r="AA543" s="2"/>
      <c r="AB543" s="171"/>
      <c r="AC543" s="1" t="s">
        <v>756</v>
      </c>
      <c r="AD543" s="1" t="s">
        <v>1791</v>
      </c>
      <c r="AF543" s="1" t="s">
        <v>338</v>
      </c>
      <c r="AG543" s="1" t="s">
        <v>472</v>
      </c>
      <c r="AI543" s="47" t="s">
        <v>1798</v>
      </c>
      <c r="AJ543" s="1" t="s">
        <v>1803</v>
      </c>
      <c r="AT543" s="50"/>
      <c r="AU543" s="35"/>
      <c r="AW543" s="10"/>
    </row>
    <row r="544" spans="1:72" ht="15" customHeight="1" x14ac:dyDescent="0.25">
      <c r="A544" s="6"/>
      <c r="B544" s="35">
        <v>2022</v>
      </c>
      <c r="C544" s="154" t="s">
        <v>1032</v>
      </c>
      <c r="D544" s="37" t="s">
        <v>1769</v>
      </c>
      <c r="F544" s="37" t="s">
        <v>1269</v>
      </c>
      <c r="J544" s="37" t="s">
        <v>314</v>
      </c>
      <c r="K544" s="57">
        <v>0.09</v>
      </c>
      <c r="L544" s="58" t="s">
        <v>1154</v>
      </c>
      <c r="M544" s="1" t="s">
        <v>742</v>
      </c>
      <c r="N544" s="59" t="s">
        <v>45</v>
      </c>
      <c r="O544" s="41">
        <v>20</v>
      </c>
      <c r="P544" s="35"/>
      <c r="Q544" s="42">
        <v>5391600</v>
      </c>
      <c r="R544" s="86"/>
      <c r="S544" s="42"/>
      <c r="T544" s="42"/>
      <c r="W544" s="6"/>
      <c r="X544" s="6"/>
      <c r="Y544" s="6"/>
      <c r="Z544" s="171"/>
      <c r="AA544" s="2"/>
      <c r="AB544" s="171"/>
      <c r="AC544" s="1" t="s">
        <v>1780</v>
      </c>
      <c r="AD544" s="1" t="s">
        <v>1792</v>
      </c>
      <c r="AF544" s="1" t="s">
        <v>1784</v>
      </c>
      <c r="AG544" s="1" t="s">
        <v>473</v>
      </c>
      <c r="AI544" s="47" t="s">
        <v>1799</v>
      </c>
      <c r="AJ544" s="1" t="s">
        <v>1804</v>
      </c>
      <c r="AT544" s="50"/>
      <c r="AU544" s="35"/>
      <c r="AW544" s="10"/>
    </row>
    <row r="545" spans="1:72" ht="15" customHeight="1" x14ac:dyDescent="0.25">
      <c r="A545" s="6"/>
      <c r="B545" s="35">
        <v>2022</v>
      </c>
      <c r="C545" s="154" t="s">
        <v>1032</v>
      </c>
      <c r="D545" s="37" t="s">
        <v>1770</v>
      </c>
      <c r="F545" s="37" t="s">
        <v>910</v>
      </c>
      <c r="J545" s="37" t="s">
        <v>314</v>
      </c>
      <c r="K545" s="57">
        <v>0.09</v>
      </c>
      <c r="L545" s="58" t="s">
        <v>1154</v>
      </c>
      <c r="M545" s="1" t="s">
        <v>298</v>
      </c>
      <c r="N545" s="59" t="s">
        <v>45</v>
      </c>
      <c r="O545" s="41">
        <v>30</v>
      </c>
      <c r="P545" s="35"/>
      <c r="Q545" s="42">
        <v>6400000</v>
      </c>
      <c r="R545" s="86"/>
      <c r="S545" s="42"/>
      <c r="T545" s="42"/>
      <c r="W545" s="6"/>
      <c r="X545" s="6"/>
      <c r="Y545" s="6"/>
      <c r="Z545" s="171"/>
      <c r="AA545" s="2"/>
      <c r="AB545" s="171"/>
      <c r="AC545" s="1" t="s">
        <v>1781</v>
      </c>
      <c r="AD545" s="1" t="s">
        <v>1793</v>
      </c>
      <c r="AF545" s="1" t="s">
        <v>1785</v>
      </c>
      <c r="AG545" s="1" t="s">
        <v>471</v>
      </c>
      <c r="AI545" s="47" t="s">
        <v>1800</v>
      </c>
      <c r="AJ545" s="1" t="s">
        <v>1805</v>
      </c>
      <c r="AT545" s="50"/>
      <c r="AU545" s="35"/>
      <c r="AW545" s="10"/>
    </row>
    <row r="546" spans="1:72" ht="15" customHeight="1" x14ac:dyDescent="0.25">
      <c r="A546" s="6"/>
      <c r="B546" s="35">
        <v>2022</v>
      </c>
      <c r="C546" s="154" t="s">
        <v>1032</v>
      </c>
      <c r="D546" s="37" t="s">
        <v>1771</v>
      </c>
      <c r="F546" s="37" t="s">
        <v>338</v>
      </c>
      <c r="J546" s="37" t="s">
        <v>338</v>
      </c>
      <c r="K546" s="57">
        <v>0.09</v>
      </c>
      <c r="L546" s="58" t="s">
        <v>1154</v>
      </c>
      <c r="M546" s="1" t="s">
        <v>298</v>
      </c>
      <c r="N546" s="59" t="s">
        <v>45</v>
      </c>
      <c r="O546" s="41">
        <v>32</v>
      </c>
      <c r="P546" s="35"/>
      <c r="Q546" s="42">
        <v>6491250</v>
      </c>
      <c r="R546" s="86"/>
      <c r="S546" s="42"/>
      <c r="T546" s="42"/>
      <c r="W546" s="6"/>
      <c r="X546" s="6"/>
      <c r="Y546" s="6"/>
      <c r="Z546" s="171"/>
      <c r="AA546" s="2"/>
      <c r="AB546" s="171"/>
      <c r="AC546" s="1" t="s">
        <v>1782</v>
      </c>
      <c r="AD546" s="1" t="s">
        <v>1794</v>
      </c>
      <c r="AF546" s="1" t="s">
        <v>1786</v>
      </c>
      <c r="AG546" s="1" t="s">
        <v>473</v>
      </c>
      <c r="AI546" s="47" t="s">
        <v>1801</v>
      </c>
      <c r="AJ546" s="1" t="s">
        <v>1806</v>
      </c>
      <c r="AT546" s="50"/>
      <c r="AU546" s="35"/>
      <c r="AW546" s="10"/>
    </row>
    <row r="547" spans="1:72" ht="15" customHeight="1" x14ac:dyDescent="0.25">
      <c r="A547" s="6"/>
      <c r="B547" s="35">
        <v>2022</v>
      </c>
      <c r="C547" s="154" t="s">
        <v>1032</v>
      </c>
      <c r="D547" s="37" t="s">
        <v>1772</v>
      </c>
      <c r="F547" s="37" t="s">
        <v>920</v>
      </c>
      <c r="J547" s="37" t="s">
        <v>318</v>
      </c>
      <c r="K547" s="57">
        <v>0.09</v>
      </c>
      <c r="L547" s="58" t="s">
        <v>1154</v>
      </c>
      <c r="M547" s="1" t="s">
        <v>298</v>
      </c>
      <c r="N547" s="59" t="s">
        <v>1152</v>
      </c>
      <c r="O547" s="41">
        <v>30</v>
      </c>
      <c r="P547" s="35"/>
      <c r="Q547" s="42">
        <v>6491250</v>
      </c>
      <c r="R547" s="86"/>
      <c r="S547" s="42"/>
      <c r="T547" s="42"/>
      <c r="W547" s="6"/>
      <c r="X547" s="6"/>
      <c r="Y547" s="6"/>
      <c r="Z547" s="171"/>
      <c r="AA547" s="2"/>
      <c r="AB547" s="171"/>
      <c r="AC547" s="1" t="s">
        <v>1172</v>
      </c>
      <c r="AD547" s="1" t="s">
        <v>844</v>
      </c>
      <c r="AF547" s="1" t="s">
        <v>338</v>
      </c>
      <c r="AG547" s="1" t="s">
        <v>472</v>
      </c>
      <c r="AI547" s="47" t="s">
        <v>1213</v>
      </c>
      <c r="AJ547" s="1" t="s">
        <v>1807</v>
      </c>
      <c r="AT547" s="50"/>
      <c r="AU547" s="35"/>
      <c r="AW547" s="10"/>
    </row>
    <row r="548" spans="1:72" ht="15" customHeight="1" x14ac:dyDescent="0.25">
      <c r="A548" s="6"/>
      <c r="B548" s="35">
        <v>2022</v>
      </c>
      <c r="C548" s="36" t="s">
        <v>2003</v>
      </c>
      <c r="D548" s="37" t="s">
        <v>1857</v>
      </c>
      <c r="F548" s="37" t="s">
        <v>1262</v>
      </c>
      <c r="J548" s="37" t="s">
        <v>420</v>
      </c>
      <c r="K548" s="57">
        <v>0.09</v>
      </c>
      <c r="L548" s="58" t="s">
        <v>440</v>
      </c>
      <c r="M548" s="1" t="s">
        <v>742</v>
      </c>
      <c r="N548" s="59" t="s">
        <v>1152</v>
      </c>
      <c r="O548" s="41">
        <v>24</v>
      </c>
      <c r="P548" s="35"/>
      <c r="Q548" s="42">
        <v>4438010</v>
      </c>
      <c r="R548" s="86"/>
      <c r="S548" s="42"/>
      <c r="T548" s="42"/>
      <c r="W548" s="6"/>
      <c r="X548" s="6"/>
      <c r="Y548" s="6"/>
      <c r="Z548" s="46" t="e">
        <f>DATE(YEAR(W548)+14,MONTH(W548),DAY(W548))</f>
        <v>#NUM!</v>
      </c>
      <c r="AA548" s="2"/>
      <c r="AB548" s="46" t="e">
        <f>DATE(YEAR(Z548)+AA548,MONTH(Z548),DAY(Z548))</f>
        <v>#NUM!</v>
      </c>
      <c r="AC548" s="1" t="s">
        <v>1777</v>
      </c>
      <c r="AD548" s="1" t="s">
        <v>1631</v>
      </c>
      <c r="AF548" s="1" t="s">
        <v>46</v>
      </c>
      <c r="AG548" s="1" t="s">
        <v>472</v>
      </c>
      <c r="AI548" s="47" t="s">
        <v>1632</v>
      </c>
      <c r="AJ548" s="1">
        <v>4065324663</v>
      </c>
      <c r="AT548" s="50"/>
      <c r="AU548" s="35">
        <f>SUM(AV548:BE548)</f>
        <v>0</v>
      </c>
      <c r="AW548" s="10"/>
      <c r="BP548" s="1">
        <f>SUM(BH548:BO548)</f>
        <v>0</v>
      </c>
    </row>
    <row r="549" spans="1:72" ht="15" customHeight="1" x14ac:dyDescent="0.25">
      <c r="A549" s="6"/>
      <c r="B549" s="35">
        <v>2022</v>
      </c>
      <c r="C549" s="36" t="s">
        <v>2003</v>
      </c>
      <c r="D549" s="37" t="s">
        <v>1765</v>
      </c>
      <c r="F549" s="37" t="s">
        <v>1047</v>
      </c>
      <c r="J549" s="37" t="s">
        <v>446</v>
      </c>
      <c r="K549" s="57">
        <v>0.09</v>
      </c>
      <c r="L549" s="58" t="s">
        <v>440</v>
      </c>
      <c r="M549" s="1" t="s">
        <v>1169</v>
      </c>
      <c r="N549" s="59" t="s">
        <v>45</v>
      </c>
      <c r="O549" s="41">
        <v>24</v>
      </c>
      <c r="P549" s="35"/>
      <c r="Q549" s="42">
        <v>6491000</v>
      </c>
      <c r="R549" s="86"/>
      <c r="S549" s="42"/>
      <c r="T549" s="42"/>
      <c r="W549" s="6"/>
      <c r="X549" s="6"/>
      <c r="Y549" s="6"/>
      <c r="Z549" s="46" t="e">
        <f>DATE(YEAR(W549)+14,MONTH(W549),DAY(W549))</f>
        <v>#NUM!</v>
      </c>
      <c r="AA549" s="2"/>
      <c r="AB549" s="46" t="e">
        <f>DATE(YEAR(Z549)+AA549,MONTH(Z549),DAY(Z549))</f>
        <v>#NUM!</v>
      </c>
      <c r="AC549" s="1" t="s">
        <v>1778</v>
      </c>
      <c r="AD549" s="1" t="s">
        <v>1631</v>
      </c>
      <c r="AF549" s="1" t="s">
        <v>46</v>
      </c>
      <c r="AG549" s="1" t="s">
        <v>472</v>
      </c>
      <c r="AI549" s="47" t="s">
        <v>1632</v>
      </c>
      <c r="AJ549" s="1">
        <v>4062356593</v>
      </c>
      <c r="AT549" s="50"/>
      <c r="AU549" s="35">
        <f>SUM(AV549:BE549)</f>
        <v>0</v>
      </c>
      <c r="AW549" s="10"/>
      <c r="BP549" s="1">
        <f>SUM(BH549:BO549)</f>
        <v>0</v>
      </c>
    </row>
    <row r="550" spans="1:72" ht="15" customHeight="1" x14ac:dyDescent="0.25">
      <c r="A550" s="6"/>
      <c r="B550" s="35">
        <v>2022</v>
      </c>
      <c r="C550" s="36" t="s">
        <v>2003</v>
      </c>
      <c r="D550" s="37" t="s">
        <v>1760</v>
      </c>
      <c r="E550" s="1" t="s">
        <v>1880</v>
      </c>
      <c r="F550" s="37" t="s">
        <v>65</v>
      </c>
      <c r="G550" s="38">
        <v>59405</v>
      </c>
      <c r="H550" s="39">
        <v>47.499870000000001</v>
      </c>
      <c r="I550" s="39">
        <v>-111.30262999999999</v>
      </c>
      <c r="J550" s="37" t="s">
        <v>308</v>
      </c>
      <c r="K550" s="57">
        <v>0.09</v>
      </c>
      <c r="L550" s="58" t="s">
        <v>1154</v>
      </c>
      <c r="M550" s="1" t="s">
        <v>1169</v>
      </c>
      <c r="N550" s="59" t="s">
        <v>1152</v>
      </c>
      <c r="O550" s="41">
        <v>36</v>
      </c>
      <c r="P550" s="35"/>
      <c r="Q550" s="42">
        <v>6491250</v>
      </c>
      <c r="R550" s="86"/>
      <c r="S550" s="42"/>
      <c r="T550" s="42"/>
      <c r="W550" s="6"/>
      <c r="X550" s="6"/>
      <c r="Y550" s="6"/>
      <c r="Z550" s="46" t="e">
        <f>DATE(YEAR(W550)+14,MONTH(W550),DAY(W550))</f>
        <v>#NUM!</v>
      </c>
      <c r="AA550" s="2"/>
      <c r="AB550" s="46" t="e">
        <f>DATE(YEAR(Z550)+AA550,MONTH(Z550),DAY(Z550))</f>
        <v>#NUM!</v>
      </c>
      <c r="AC550" s="1" t="s">
        <v>1172</v>
      </c>
      <c r="AD550" s="1" t="s">
        <v>844</v>
      </c>
      <c r="AE550" s="1" t="s">
        <v>929</v>
      </c>
      <c r="AF550" s="1" t="s">
        <v>338</v>
      </c>
      <c r="AG550" s="1" t="s">
        <v>472</v>
      </c>
      <c r="AH550" s="36">
        <v>59806</v>
      </c>
      <c r="AI550" s="47" t="s">
        <v>1213</v>
      </c>
      <c r="AJ550" s="1">
        <v>4062031558</v>
      </c>
      <c r="AT550" s="50"/>
      <c r="AU550" s="35">
        <f>SUM(AV550:BE550)</f>
        <v>0</v>
      </c>
      <c r="AW550" s="10"/>
      <c r="BF550" s="36" t="s">
        <v>1755</v>
      </c>
      <c r="BJ550" s="36">
        <f>19+12+7</f>
        <v>38</v>
      </c>
      <c r="BK550" s="36">
        <f>19+12+8</f>
        <v>39</v>
      </c>
      <c r="BL550" s="36">
        <f>19+11+6</f>
        <v>36</v>
      </c>
      <c r="BO550" s="1">
        <v>1</v>
      </c>
      <c r="BP550" s="1">
        <f>SUM(BH550:BO550)</f>
        <v>114</v>
      </c>
      <c r="BQ550" s="51">
        <f>((BH550*BH$1)+(BI550*BI$1)+(BJ550*BJ$1)+(BK550*BK$1)+(BL550*BL$1)+(BM550*BM$1))/SUM(BH550:BM550)</f>
        <v>0.59823008849557513</v>
      </c>
    </row>
    <row r="551" spans="1:72" x14ac:dyDescent="0.25">
      <c r="A551" s="6">
        <v>44698</v>
      </c>
      <c r="B551" s="35">
        <v>2023</v>
      </c>
      <c r="C551" s="36" t="s">
        <v>2002</v>
      </c>
      <c r="D551" s="37" t="s">
        <v>1984</v>
      </c>
      <c r="F551" s="175" t="s">
        <v>1044</v>
      </c>
      <c r="J551" s="1" t="s">
        <v>383</v>
      </c>
      <c r="K551" s="40">
        <v>0.09</v>
      </c>
      <c r="L551" s="36" t="s">
        <v>1154</v>
      </c>
      <c r="M551" s="1" t="s">
        <v>307</v>
      </c>
      <c r="N551" s="36" t="s">
        <v>45</v>
      </c>
      <c r="O551" s="41">
        <v>12</v>
      </c>
      <c r="Q551" s="43">
        <v>3490000</v>
      </c>
      <c r="R551" s="43">
        <v>2995000</v>
      </c>
      <c r="S551" s="43"/>
      <c r="T551" s="42"/>
      <c r="AC551" s="1" t="s">
        <v>1173</v>
      </c>
      <c r="AF551" s="1" t="s">
        <v>887</v>
      </c>
      <c r="AI551" s="47" t="s">
        <v>1222</v>
      </c>
      <c r="AJ551" s="1">
        <v>4064312151</v>
      </c>
      <c r="AT551" s="50"/>
      <c r="AU551" s="35"/>
      <c r="BQ551" s="51"/>
      <c r="BR551" s="52">
        <v>3360000</v>
      </c>
      <c r="BS551" s="52" t="e">
        <f>VLOOKUP(M551,#REF!,2,TRUE)*(BR551/1000000)</f>
        <v>#REF!</v>
      </c>
      <c r="BT551" s="43" t="e">
        <f>VLOOKUP(M551,#REF!,3,TRUE)*(BR551/1000000)</f>
        <v>#REF!</v>
      </c>
    </row>
    <row r="552" spans="1:72" x14ac:dyDescent="0.25">
      <c r="A552" s="6">
        <v>44698</v>
      </c>
      <c r="B552" s="35">
        <v>2023</v>
      </c>
      <c r="C552" s="36" t="s">
        <v>2002</v>
      </c>
      <c r="D552" s="37" t="s">
        <v>1985</v>
      </c>
      <c r="F552" s="176" t="s">
        <v>1264</v>
      </c>
      <c r="J552" s="1" t="s">
        <v>343</v>
      </c>
      <c r="K552" s="40">
        <v>0.09</v>
      </c>
      <c r="L552" s="36" t="s">
        <v>1997</v>
      </c>
      <c r="M552" s="1" t="s">
        <v>307</v>
      </c>
      <c r="N552" s="36" t="s">
        <v>1152</v>
      </c>
      <c r="O552" s="41">
        <v>24</v>
      </c>
      <c r="Q552" s="43">
        <v>3594600</v>
      </c>
      <c r="R552" s="43">
        <v>3055104</v>
      </c>
      <c r="S552" s="43"/>
      <c r="T552" s="42"/>
      <c r="AC552" s="1" t="s">
        <v>1994</v>
      </c>
      <c r="AF552" s="1" t="s">
        <v>46</v>
      </c>
      <c r="AI552" s="47" t="s">
        <v>1632</v>
      </c>
      <c r="AJ552" s="1">
        <v>4062356593</v>
      </c>
      <c r="AT552" s="50"/>
      <c r="AU552" s="35"/>
      <c r="BQ552" s="51"/>
      <c r="BR552" s="52">
        <v>5536597</v>
      </c>
      <c r="BS552" s="52" t="e">
        <f>VLOOKUP(M552,#REF!,2,TRUE)*(BR552/1000000)</f>
        <v>#REF!</v>
      </c>
      <c r="BT552" s="43" t="e">
        <f>VLOOKUP(M552,#REF!,3,TRUE)*(BR552/1000000)</f>
        <v>#REF!</v>
      </c>
    </row>
    <row r="553" spans="1:72" x14ac:dyDescent="0.25">
      <c r="A553" s="6">
        <v>44698</v>
      </c>
      <c r="B553" s="35">
        <v>2023</v>
      </c>
      <c r="C553" s="36" t="s">
        <v>2002</v>
      </c>
      <c r="D553" s="37" t="s">
        <v>1986</v>
      </c>
      <c r="F553" s="175" t="s">
        <v>46</v>
      </c>
      <c r="J553" s="1" t="s">
        <v>343</v>
      </c>
      <c r="K553" s="40">
        <v>0.09</v>
      </c>
      <c r="L553" s="36" t="s">
        <v>1154</v>
      </c>
      <c r="M553" s="1" t="s">
        <v>307</v>
      </c>
      <c r="N553" s="36" t="s">
        <v>1152</v>
      </c>
      <c r="O553" s="41">
        <v>24</v>
      </c>
      <c r="Q553" s="43">
        <v>6180000</v>
      </c>
      <c r="R553" s="43">
        <v>5437856</v>
      </c>
      <c r="S553" s="43"/>
      <c r="T553" s="42"/>
      <c r="AC553" s="1" t="s">
        <v>1699</v>
      </c>
      <c r="AF553" s="1" t="s">
        <v>887</v>
      </c>
      <c r="AI553" s="47" t="s">
        <v>1636</v>
      </c>
      <c r="AJ553" s="1">
        <v>4064595332</v>
      </c>
      <c r="AT553" s="50"/>
      <c r="AU553" s="35"/>
      <c r="BQ553" s="51"/>
      <c r="BR553" s="52">
        <v>6707856</v>
      </c>
      <c r="BS553" s="52" t="e">
        <f>VLOOKUP(M553,#REF!,2,TRUE)*(BR553/1000000)</f>
        <v>#REF!</v>
      </c>
      <c r="BT553" s="43" t="e">
        <f>VLOOKUP(M553,#REF!,3,TRUE)*(BR553/1000000)</f>
        <v>#REF!</v>
      </c>
    </row>
    <row r="554" spans="1:72" x14ac:dyDescent="0.25">
      <c r="A554" s="6">
        <v>44698</v>
      </c>
      <c r="B554" s="35">
        <v>2023</v>
      </c>
      <c r="C554" s="36" t="s">
        <v>2002</v>
      </c>
      <c r="D554" s="37" t="s">
        <v>1987</v>
      </c>
      <c r="F554" s="176" t="s">
        <v>65</v>
      </c>
      <c r="J554" s="37" t="s">
        <v>308</v>
      </c>
      <c r="K554" s="57">
        <v>0.09</v>
      </c>
      <c r="L554" s="58" t="s">
        <v>426</v>
      </c>
      <c r="M554" s="1" t="s">
        <v>307</v>
      </c>
      <c r="N554" s="59" t="s">
        <v>45</v>
      </c>
      <c r="O554" s="41">
        <v>48</v>
      </c>
      <c r="P554" s="35"/>
      <c r="Q554" s="42">
        <v>6500000</v>
      </c>
      <c r="R554" s="86">
        <v>5589441</v>
      </c>
      <c r="S554" s="43"/>
      <c r="T554" s="42"/>
      <c r="AC554" s="1" t="s">
        <v>1995</v>
      </c>
      <c r="AF554" s="1" t="s">
        <v>1998</v>
      </c>
      <c r="AI554" s="47" t="s">
        <v>2001</v>
      </c>
      <c r="AJ554" s="1">
        <v>9492466083</v>
      </c>
      <c r="AT554" s="50"/>
      <c r="AU554" s="35"/>
      <c r="BQ554" s="51"/>
      <c r="BR554" s="52">
        <v>10555046</v>
      </c>
      <c r="BS554" s="52" t="e">
        <f>VLOOKUP(M554,#REF!,2,TRUE)*(BR554/1000000)</f>
        <v>#REF!</v>
      </c>
      <c r="BT554" s="43" t="e">
        <f>VLOOKUP(M554,#REF!,3,TRUE)*(BR554/1000000)</f>
        <v>#REF!</v>
      </c>
    </row>
    <row r="555" spans="1:72" x14ac:dyDescent="0.25">
      <c r="A555" s="6">
        <v>44698</v>
      </c>
      <c r="B555" s="35">
        <v>2023</v>
      </c>
      <c r="C555" s="36" t="s">
        <v>2002</v>
      </c>
      <c r="D555" s="37" t="s">
        <v>1761</v>
      </c>
      <c r="F555" s="177" t="s">
        <v>46</v>
      </c>
      <c r="J555" s="37" t="s">
        <v>343</v>
      </c>
      <c r="K555" s="57">
        <v>0.09</v>
      </c>
      <c r="L555" s="58" t="s">
        <v>426</v>
      </c>
      <c r="M555" s="1" t="s">
        <v>1169</v>
      </c>
      <c r="N555" s="59" t="s">
        <v>45</v>
      </c>
      <c r="P555" s="35"/>
      <c r="Q555" s="42">
        <v>950000</v>
      </c>
      <c r="R555" s="86"/>
      <c r="S555" s="43"/>
      <c r="T555" s="42"/>
      <c r="AC555" s="1" t="s">
        <v>1996</v>
      </c>
      <c r="AF555" s="1" t="s">
        <v>793</v>
      </c>
      <c r="AI555" s="47" t="s">
        <v>1670</v>
      </c>
      <c r="AJ555" s="1">
        <v>2067456464</v>
      </c>
      <c r="AT555" s="50"/>
      <c r="AU555" s="35"/>
      <c r="BQ555" s="51"/>
    </row>
    <row r="556" spans="1:72" x14ac:dyDescent="0.25">
      <c r="A556" s="6">
        <v>44858</v>
      </c>
      <c r="B556" s="35">
        <v>2023</v>
      </c>
      <c r="C556" s="36" t="s">
        <v>2004</v>
      </c>
      <c r="D556" s="37" t="s">
        <v>1983</v>
      </c>
      <c r="F556" s="1" t="s">
        <v>910</v>
      </c>
      <c r="J556" s="37" t="s">
        <v>314</v>
      </c>
      <c r="K556" s="57">
        <v>0.09</v>
      </c>
      <c r="L556" s="58" t="s">
        <v>426</v>
      </c>
      <c r="M556" s="1" t="s">
        <v>1169</v>
      </c>
      <c r="N556" s="59" t="s">
        <v>45</v>
      </c>
      <c r="O556" s="41">
        <v>30</v>
      </c>
      <c r="P556" s="35"/>
      <c r="Q556" s="42">
        <v>6400000</v>
      </c>
      <c r="R556" s="86">
        <v>5911217</v>
      </c>
      <c r="S556" s="43"/>
      <c r="T556" s="42"/>
      <c r="AC556" s="1" t="s">
        <v>1993</v>
      </c>
      <c r="AF556" s="1" t="s">
        <v>195</v>
      </c>
      <c r="AI556" s="47" t="s">
        <v>2000</v>
      </c>
      <c r="AJ556" s="1">
        <v>7632483004</v>
      </c>
      <c r="AT556" s="50"/>
      <c r="AU556" s="35"/>
      <c r="BQ556" s="51"/>
      <c r="BR556" s="52">
        <v>7700000</v>
      </c>
      <c r="BS556" s="52" t="e">
        <f>VLOOKUP(M556,#REF!,2,TRUE)*(BR556/1000000)</f>
        <v>#REF!</v>
      </c>
      <c r="BT556" s="43" t="e">
        <f>VLOOKUP(M556,#REF!,3,TRUE)*(BR556/1000000)</f>
        <v>#REF!</v>
      </c>
    </row>
    <row r="557" spans="1:72" x14ac:dyDescent="0.25">
      <c r="A557" s="6">
        <v>44858</v>
      </c>
      <c r="B557" s="35">
        <v>2023</v>
      </c>
      <c r="C557" s="36" t="s">
        <v>2004</v>
      </c>
      <c r="D557" s="37" t="s">
        <v>1980</v>
      </c>
      <c r="F557" s="1" t="s">
        <v>1026</v>
      </c>
      <c r="J557" s="37" t="s">
        <v>468</v>
      </c>
      <c r="K557" s="57">
        <v>0.09</v>
      </c>
      <c r="L557" s="58" t="s">
        <v>1154</v>
      </c>
      <c r="M557" s="1" t="s">
        <v>1169</v>
      </c>
      <c r="N557" s="59" t="s">
        <v>45</v>
      </c>
      <c r="O557" s="41">
        <v>26</v>
      </c>
      <c r="P557" s="35"/>
      <c r="Q557" s="42">
        <v>6500000</v>
      </c>
      <c r="R557" s="86">
        <v>5719428</v>
      </c>
      <c r="S557" s="43"/>
      <c r="T557" s="42"/>
      <c r="AC557" s="1" t="s">
        <v>1699</v>
      </c>
      <c r="AF557" s="1" t="s">
        <v>887</v>
      </c>
      <c r="AI557" s="47" t="s">
        <v>1636</v>
      </c>
      <c r="AJ557" s="1">
        <v>4064595332</v>
      </c>
      <c r="AT557" s="50"/>
      <c r="AU557" s="35"/>
      <c r="BQ557" s="51"/>
      <c r="BR557" s="52">
        <v>7271252</v>
      </c>
      <c r="BS557" s="52" t="e">
        <f>VLOOKUP(M557,#REF!,2,TRUE)*(BR557/1000000)</f>
        <v>#REF!</v>
      </c>
      <c r="BT557" s="43" t="e">
        <f>VLOOKUP(M557,#REF!,3,TRUE)*(BR557/1000000)</f>
        <v>#REF!</v>
      </c>
    </row>
    <row r="558" spans="1:72" x14ac:dyDescent="0.25">
      <c r="A558" s="6">
        <v>44851</v>
      </c>
      <c r="B558" s="35">
        <v>2023</v>
      </c>
      <c r="C558" s="36" t="s">
        <v>2003</v>
      </c>
      <c r="D558" s="37" t="s">
        <v>1982</v>
      </c>
      <c r="E558" s="1" t="s">
        <v>2034</v>
      </c>
      <c r="F558" s="1" t="s">
        <v>887</v>
      </c>
      <c r="G558" s="38">
        <v>59601</v>
      </c>
      <c r="H558" s="39">
        <v>46.592019999999998</v>
      </c>
      <c r="I558" s="39">
        <v>-112.01248</v>
      </c>
      <c r="J558" s="1" t="s">
        <v>913</v>
      </c>
      <c r="K558" s="40">
        <v>0.09</v>
      </c>
      <c r="L558" s="36" t="s">
        <v>1154</v>
      </c>
      <c r="M558" s="1" t="s">
        <v>1169</v>
      </c>
      <c r="N558" s="36" t="s">
        <v>1152</v>
      </c>
      <c r="O558" s="41">
        <v>31</v>
      </c>
      <c r="P558" s="36">
        <v>1</v>
      </c>
      <c r="Q558" s="42">
        <v>6500000</v>
      </c>
      <c r="R558" s="43">
        <v>5524448</v>
      </c>
      <c r="S558" s="43"/>
      <c r="T558" s="42"/>
      <c r="AC558" s="1" t="s">
        <v>1172</v>
      </c>
      <c r="AD558" s="1" t="s">
        <v>844</v>
      </c>
      <c r="AE558" s="1" t="s">
        <v>929</v>
      </c>
      <c r="AF558" s="1" t="s">
        <v>338</v>
      </c>
      <c r="AG558" s="1" t="s">
        <v>472</v>
      </c>
      <c r="AH558" s="36">
        <v>59806</v>
      </c>
      <c r="AI558" s="47" t="s">
        <v>1213</v>
      </c>
      <c r="AJ558" s="48">
        <v>4062031558</v>
      </c>
      <c r="AK558" s="1" t="s">
        <v>2035</v>
      </c>
      <c r="AL558" s="1" t="s">
        <v>2032</v>
      </c>
      <c r="AM558" s="1" t="s">
        <v>2036</v>
      </c>
      <c r="AN558" s="1" t="s">
        <v>887</v>
      </c>
      <c r="AO558" s="1" t="s">
        <v>472</v>
      </c>
      <c r="AP558" s="1">
        <v>59623</v>
      </c>
      <c r="AQ558" s="36" t="s">
        <v>2014</v>
      </c>
      <c r="AR558" s="60" t="s">
        <v>2037</v>
      </c>
      <c r="AS558" s="49">
        <v>4064478410</v>
      </c>
      <c r="AT558" s="50"/>
      <c r="AU558" s="35">
        <f>SUM(AV558:BE558)</f>
        <v>31</v>
      </c>
      <c r="AX558" s="1">
        <v>21</v>
      </c>
      <c r="AY558" s="1">
        <v>9</v>
      </c>
      <c r="BE558" s="1">
        <v>1</v>
      </c>
      <c r="BF558" s="36" t="s">
        <v>1756</v>
      </c>
      <c r="BI558" s="36">
        <v>3</v>
      </c>
      <c r="BJ558" s="36">
        <v>23</v>
      </c>
      <c r="BK558" s="36">
        <v>4</v>
      </c>
      <c r="BO558" s="1">
        <v>1</v>
      </c>
      <c r="BP558" s="1">
        <f>SUM(BH558:BO558)</f>
        <v>31</v>
      </c>
      <c r="BQ558" s="51">
        <f>((BH558*BH$1)+(BI558*BI$1)+(BJ558*BJ$1)+(BK558*BK$1)+(BL558*BL$1)+(BM558*BM$1))/SUM(BH558:BM558)</f>
        <v>0.5033333333333333</v>
      </c>
      <c r="BR558" s="52">
        <v>7351445</v>
      </c>
      <c r="BS558" s="52" t="e">
        <f>VLOOKUP(M558,#REF!,2,TRUE)*(BR558/1000000)</f>
        <v>#REF!</v>
      </c>
      <c r="BT558" s="43" t="e">
        <f>VLOOKUP(M558,#REF!,3,TRUE)*(BR558/1000000)</f>
        <v>#REF!</v>
      </c>
    </row>
    <row r="559" spans="1:72" x14ac:dyDescent="0.25">
      <c r="A559" s="6"/>
      <c r="B559" s="35">
        <v>2024</v>
      </c>
      <c r="C559" s="36" t="s">
        <v>2002</v>
      </c>
      <c r="D559" s="1" t="s">
        <v>2076</v>
      </c>
      <c r="F559" s="1" t="s">
        <v>920</v>
      </c>
      <c r="H559" s="38"/>
      <c r="J559" s="1" t="s">
        <v>2083</v>
      </c>
      <c r="K559" s="40">
        <v>0.09</v>
      </c>
      <c r="L559" s="36" t="s">
        <v>1154</v>
      </c>
      <c r="M559" s="1" t="s">
        <v>298</v>
      </c>
      <c r="N559" s="36" t="s">
        <v>1152</v>
      </c>
      <c r="O559" s="41">
        <v>20</v>
      </c>
      <c r="Q559" s="42">
        <v>6300000</v>
      </c>
      <c r="R559" s="43">
        <v>5354465</v>
      </c>
      <c r="S559" s="43"/>
      <c r="T559" s="42"/>
      <c r="AC559" s="1" t="s">
        <v>2084</v>
      </c>
      <c r="AF559" s="1" t="s">
        <v>338</v>
      </c>
      <c r="AH559" s="36" t="s">
        <v>472</v>
      </c>
      <c r="AI559" s="47" t="s">
        <v>1213</v>
      </c>
      <c r="AJ559" s="48"/>
      <c r="AQ559" s="36" t="s">
        <v>2092</v>
      </c>
      <c r="AR559" s="55"/>
      <c r="AS559" s="49"/>
      <c r="AT559" s="50"/>
      <c r="AU559" s="35">
        <f>SUM(AV559:BE559)</f>
        <v>20</v>
      </c>
      <c r="AX559" s="1">
        <v>9</v>
      </c>
      <c r="AY559" s="1">
        <v>10</v>
      </c>
      <c r="BE559" s="1">
        <v>1</v>
      </c>
      <c r="BF559" s="36" t="s">
        <v>1756</v>
      </c>
      <c r="BI559" s="36">
        <v>2</v>
      </c>
      <c r="BJ559" s="36">
        <v>10</v>
      </c>
      <c r="BK559" s="36">
        <v>7</v>
      </c>
      <c r="BO559" s="1">
        <v>1</v>
      </c>
      <c r="BP559" s="1">
        <f>SUM(BH559:BO559)</f>
        <v>20</v>
      </c>
      <c r="BQ559" s="51">
        <f>((BH559*BH$1)+(BI559*BI$1)+(BJ559*BJ$1)+(BK559*BK$1)+(BL559*BL$1)+(BM559*BM$1))/SUM(BH559:BM559)</f>
        <v>0.52631578947368418</v>
      </c>
    </row>
    <row r="560" spans="1:72" x14ac:dyDescent="0.25">
      <c r="A560" s="6"/>
      <c r="B560" s="35">
        <v>2024</v>
      </c>
      <c r="C560" s="36" t="s">
        <v>2003</v>
      </c>
      <c r="D560" s="37" t="s">
        <v>2080</v>
      </c>
      <c r="E560" s="1" t="s">
        <v>2127</v>
      </c>
      <c r="F560" s="1" t="s">
        <v>60</v>
      </c>
      <c r="G560" s="38">
        <v>59701</v>
      </c>
      <c r="H560" s="39">
        <v>46.01343</v>
      </c>
      <c r="I560" s="39">
        <v>-112.53876</v>
      </c>
      <c r="J560" s="1" t="s">
        <v>437</v>
      </c>
      <c r="K560" s="40">
        <v>0.09</v>
      </c>
      <c r="L560" s="36" t="s">
        <v>1154</v>
      </c>
      <c r="M560" s="1" t="s">
        <v>307</v>
      </c>
      <c r="N560" s="36" t="s">
        <v>45</v>
      </c>
      <c r="O560" s="41">
        <v>29</v>
      </c>
      <c r="P560" s="36">
        <v>1</v>
      </c>
      <c r="Q560" s="42">
        <v>6500000</v>
      </c>
      <c r="R560" s="43">
        <v>5590000</v>
      </c>
      <c r="S560" s="43"/>
      <c r="T560" s="42"/>
      <c r="U560" s="44">
        <v>3.8324999999999998E-2</v>
      </c>
      <c r="V560" s="45">
        <v>16</v>
      </c>
      <c r="AC560" s="1" t="s">
        <v>756</v>
      </c>
      <c r="AD560" s="1" t="s">
        <v>2128</v>
      </c>
      <c r="AE560" s="1" t="s">
        <v>2129</v>
      </c>
      <c r="AF560" s="1" t="s">
        <v>338</v>
      </c>
      <c r="AG560" s="1" t="s">
        <v>472</v>
      </c>
      <c r="AH560" s="36">
        <v>59808</v>
      </c>
      <c r="AI560" s="47" t="s">
        <v>2091</v>
      </c>
      <c r="AJ560" s="48">
        <v>4068024487</v>
      </c>
      <c r="AK560" s="1" t="s">
        <v>2130</v>
      </c>
      <c r="AL560" s="1" t="s">
        <v>2131</v>
      </c>
      <c r="AM560" s="1" t="s">
        <v>752</v>
      </c>
      <c r="AN560" s="1" t="s">
        <v>60</v>
      </c>
      <c r="AO560" s="1" t="s">
        <v>472</v>
      </c>
      <c r="AP560" s="1">
        <v>59701</v>
      </c>
      <c r="AQ560" s="36" t="s">
        <v>2092</v>
      </c>
      <c r="AR560" s="60" t="s">
        <v>2132</v>
      </c>
      <c r="AS560" s="49">
        <v>4064976214</v>
      </c>
      <c r="AT560" s="50">
        <v>191</v>
      </c>
      <c r="AU560" s="35">
        <f>SUM(AV560:BE560)</f>
        <v>29</v>
      </c>
      <c r="AW560" s="1">
        <v>4</v>
      </c>
      <c r="AX560" s="1">
        <v>12</v>
      </c>
      <c r="AY560" s="1">
        <v>13</v>
      </c>
      <c r="BF560" s="36" t="s">
        <v>1756</v>
      </c>
      <c r="BI560" s="36">
        <f>2+2+2</f>
        <v>6</v>
      </c>
      <c r="BJ560" s="36">
        <f>2+4+3</f>
        <v>9</v>
      </c>
      <c r="BK560" s="36">
        <f>6+8</f>
        <v>14</v>
      </c>
      <c r="BP560" s="1">
        <f>SUM(BH560:BO560)</f>
        <v>29</v>
      </c>
      <c r="BQ560" s="51">
        <f>((BH560*BH$1)+(BI560*BI$1)+(BJ560*BJ$1)+(BK560*BK$1)+(BL560*BL$1)+(BM560*BM$1))/SUM(BH560:BM560)</f>
        <v>0.52758620689655178</v>
      </c>
      <c r="BR560" s="52">
        <v>8815023</v>
      </c>
      <c r="BS560" s="52" t="e">
        <f>VLOOKUP(M560,#REF!,2,TRUE)*(BR560/1000000)</f>
        <v>#REF!</v>
      </c>
      <c r="BT560" s="43" t="e">
        <f>VLOOKUP(M560,#REF!,3,TRUE)*(BR560/1000000)</f>
        <v>#REF!</v>
      </c>
    </row>
    <row r="561" spans="1:72" x14ac:dyDescent="0.25">
      <c r="A561" s="6"/>
      <c r="B561" s="35">
        <v>2024</v>
      </c>
      <c r="C561" s="36" t="s">
        <v>2003</v>
      </c>
      <c r="D561" s="37" t="s">
        <v>2081</v>
      </c>
      <c r="E561" s="1" t="s">
        <v>2133</v>
      </c>
      <c r="F561" s="1" t="s">
        <v>338</v>
      </c>
      <c r="G561" s="38">
        <v>59802</v>
      </c>
      <c r="H561" s="39">
        <v>46.877020000000002</v>
      </c>
      <c r="I561" s="39">
        <v>-114.01130999999999</v>
      </c>
      <c r="J561" s="37" t="s">
        <v>338</v>
      </c>
      <c r="K561" s="57">
        <v>0.09</v>
      </c>
      <c r="L561" s="58" t="s">
        <v>1154</v>
      </c>
      <c r="M561" s="1" t="s">
        <v>307</v>
      </c>
      <c r="N561" s="59" t="s">
        <v>45</v>
      </c>
      <c r="O561" s="41">
        <v>20</v>
      </c>
      <c r="P561" s="35">
        <v>1</v>
      </c>
      <c r="Q561" s="42">
        <v>3701410</v>
      </c>
      <c r="R561" s="43">
        <v>3108870</v>
      </c>
      <c r="S561" s="43"/>
      <c r="T561" s="42"/>
      <c r="U561" s="44"/>
      <c r="AC561" s="1" t="s">
        <v>2088</v>
      </c>
      <c r="AD561" s="1" t="s">
        <v>1884</v>
      </c>
      <c r="AE561" s="1" t="s">
        <v>2134</v>
      </c>
      <c r="AF561" s="1" t="s">
        <v>338</v>
      </c>
      <c r="AG561" s="1" t="s">
        <v>472</v>
      </c>
      <c r="AH561" s="36">
        <v>59801</v>
      </c>
      <c r="AI561" s="47" t="s">
        <v>1886</v>
      </c>
      <c r="AJ561" s="48">
        <v>4062144788</v>
      </c>
      <c r="AK561" s="1" t="s">
        <v>2135</v>
      </c>
      <c r="AL561" s="1" t="s">
        <v>2031</v>
      </c>
      <c r="AM561" s="1" t="s">
        <v>2033</v>
      </c>
      <c r="AN561" s="1" t="s">
        <v>73</v>
      </c>
      <c r="AO561" s="1" t="s">
        <v>472</v>
      </c>
      <c r="AP561" s="1">
        <v>59802</v>
      </c>
      <c r="AQ561" s="36">
        <v>30</v>
      </c>
      <c r="AR561" s="60" t="s">
        <v>2072</v>
      </c>
      <c r="AS561" s="49">
        <v>4065526001</v>
      </c>
      <c r="AT561" s="50">
        <v>1119</v>
      </c>
      <c r="AU561" s="35">
        <f>SUM(AV561:BE561)</f>
        <v>20</v>
      </c>
      <c r="AX561" s="1">
        <v>20</v>
      </c>
      <c r="BF561" s="36" t="s">
        <v>1756</v>
      </c>
      <c r="BH561" s="36">
        <v>20</v>
      </c>
      <c r="BP561" s="1">
        <f>SUM(BH561:BO561)</f>
        <v>20</v>
      </c>
      <c r="BQ561" s="51">
        <f>((BH561*BH$1)+(BI561*BI$1)+(BJ561*BJ$1)+(BK561*BK$1)+(BL561*BL$1)+(BM561*BM$1))/SUM(BH561:BM561)</f>
        <v>0.3</v>
      </c>
      <c r="BR561" s="52">
        <v>4338864</v>
      </c>
      <c r="BS561" s="52" t="e">
        <f>VLOOKUP(M561,#REF!,2,TRUE)*(BR561/1000000)</f>
        <v>#REF!</v>
      </c>
      <c r="BT561" s="43" t="e">
        <f>VLOOKUP(M561,#REF!,3,TRUE)*(BR561/1000000)</f>
        <v>#REF!</v>
      </c>
    </row>
    <row r="562" spans="1:72" ht="15" customHeight="1" x14ac:dyDescent="0.25">
      <c r="B562" s="36">
        <v>2024</v>
      </c>
      <c r="C562" s="36" t="s">
        <v>2003</v>
      </c>
      <c r="D562" s="1" t="s">
        <v>1024</v>
      </c>
      <c r="E562" s="1" t="s">
        <v>2144</v>
      </c>
      <c r="F562" s="1" t="s">
        <v>920</v>
      </c>
      <c r="G562" s="38">
        <v>59860</v>
      </c>
      <c r="H562" s="39">
        <v>47.693849999999998</v>
      </c>
      <c r="I562" s="39">
        <v>-114.11333999999999</v>
      </c>
      <c r="J562" s="1" t="s">
        <v>318</v>
      </c>
      <c r="K562" s="40">
        <v>0.09</v>
      </c>
      <c r="L562" s="36" t="s">
        <v>426</v>
      </c>
      <c r="M562" s="1" t="s">
        <v>1169</v>
      </c>
      <c r="N562" s="36" t="s">
        <v>1152</v>
      </c>
      <c r="O562" s="41">
        <v>24</v>
      </c>
      <c r="P562" s="36">
        <v>1</v>
      </c>
      <c r="Q562" s="42">
        <v>6500000</v>
      </c>
      <c r="R562" s="42">
        <v>5459454</v>
      </c>
      <c r="S562" s="42"/>
      <c r="T562" s="42"/>
      <c r="U562" s="44"/>
      <c r="AC562" s="1" t="s">
        <v>2086</v>
      </c>
      <c r="AD562" s="1" t="s">
        <v>2145</v>
      </c>
      <c r="AE562" s="1" t="s">
        <v>2146</v>
      </c>
      <c r="AF562" s="1" t="s">
        <v>46</v>
      </c>
      <c r="AG562" s="1" t="s">
        <v>472</v>
      </c>
      <c r="AH562" s="36">
        <v>59901</v>
      </c>
      <c r="AI562" s="47" t="s">
        <v>2090</v>
      </c>
      <c r="AJ562" s="48">
        <v>4067529143</v>
      </c>
      <c r="AK562" s="1" t="s">
        <v>2147</v>
      </c>
      <c r="AL562" s="1" t="s">
        <v>2148</v>
      </c>
      <c r="AM562" s="1" t="s">
        <v>2149</v>
      </c>
      <c r="AN562" s="1" t="s">
        <v>920</v>
      </c>
      <c r="AO562" s="1" t="s">
        <v>472</v>
      </c>
      <c r="AP562" s="1">
        <v>59860</v>
      </c>
      <c r="AQ562" s="36" t="s">
        <v>2151</v>
      </c>
      <c r="AR562" s="62" t="s">
        <v>2150</v>
      </c>
      <c r="AS562" s="49">
        <v>4068838205</v>
      </c>
      <c r="AT562" s="56">
        <v>139</v>
      </c>
      <c r="AU562" s="35">
        <f>SUM(AV562:BE562)</f>
        <v>24</v>
      </c>
      <c r="AX562" s="1">
        <v>12</v>
      </c>
      <c r="AY562" s="1">
        <v>12</v>
      </c>
      <c r="BF562" s="36" t="s">
        <v>1756</v>
      </c>
      <c r="BH562" s="36">
        <f>2+2</f>
        <v>4</v>
      </c>
      <c r="BJ562" s="36">
        <f>7+7</f>
        <v>14</v>
      </c>
      <c r="BK562" s="36">
        <f>1+1</f>
        <v>2</v>
      </c>
      <c r="BN562" s="36">
        <v>4</v>
      </c>
      <c r="BP562" s="1">
        <f>SUM(BH562:BO562)</f>
        <v>24</v>
      </c>
      <c r="BQ562" s="51">
        <f>((BH562*BH$1)+(BI562*BI$1)+(BJ562*BJ$1)+(BK562*BK$1)+(BL562*BL$1)+(BM562*BM$1))/SUM(BH562:BM562)</f>
        <v>0.46999999999999992</v>
      </c>
      <c r="BR562" s="52">
        <v>8120792</v>
      </c>
      <c r="BS562" s="52" t="e">
        <f>VLOOKUP(M562,#REF!,2,TRUE)*(BR562/1000000)</f>
        <v>#REF!</v>
      </c>
      <c r="BT562" s="43" t="e">
        <f>VLOOKUP(M562,#REF!,3,TRUE)*(BR562/1000000)</f>
        <v>#REF!</v>
      </c>
    </row>
    <row r="563" spans="1:72" ht="12.75" customHeight="1" x14ac:dyDescent="0.25">
      <c r="A563" s="6"/>
      <c r="B563" s="35">
        <v>2025</v>
      </c>
      <c r="C563" s="36" t="s">
        <v>2004</v>
      </c>
      <c r="D563" s="1" t="s">
        <v>2233</v>
      </c>
      <c r="F563" s="1" t="s">
        <v>192</v>
      </c>
      <c r="J563" s="1" t="s">
        <v>300</v>
      </c>
      <c r="K563" s="40">
        <v>0.09</v>
      </c>
      <c r="L563" s="36" t="s">
        <v>426</v>
      </c>
      <c r="M563" s="1" t="s">
        <v>298</v>
      </c>
      <c r="N563" s="36" t="s">
        <v>45</v>
      </c>
      <c r="O563" s="41">
        <v>24</v>
      </c>
      <c r="Q563" s="42">
        <v>6500000</v>
      </c>
      <c r="R563" s="43"/>
      <c r="S563" s="43"/>
      <c r="T563" s="42"/>
      <c r="AC563" s="1" t="s">
        <v>2238</v>
      </c>
      <c r="AD563" s="1" t="s">
        <v>2241</v>
      </c>
      <c r="AF563" s="1" t="s">
        <v>192</v>
      </c>
      <c r="AG563" s="1" t="s">
        <v>472</v>
      </c>
      <c r="AI563" s="47" t="s">
        <v>2243</v>
      </c>
      <c r="AJ563" s="48">
        <v>4062593804</v>
      </c>
      <c r="AQ563" s="36"/>
      <c r="AR563" s="36"/>
      <c r="AS563" s="49"/>
      <c r="AT563" s="50"/>
      <c r="AU563" s="35"/>
      <c r="BQ563" s="51"/>
    </row>
    <row r="564" spans="1:72" ht="15.6" x14ac:dyDescent="0.3">
      <c r="M564" s="160"/>
      <c r="Q564" s="91"/>
      <c r="AI564" s="47"/>
    </row>
    <row r="565" spans="1:72" ht="15.6" x14ac:dyDescent="0.3">
      <c r="M565" s="160"/>
      <c r="Q565" s="91"/>
      <c r="AI565" s="47"/>
    </row>
    <row r="566" spans="1:72" ht="15.6" x14ac:dyDescent="0.3">
      <c r="M566" s="160"/>
      <c r="Q566" s="91"/>
      <c r="AI566" s="47"/>
    </row>
    <row r="567" spans="1:72" ht="15.6" x14ac:dyDescent="0.3">
      <c r="M567" s="160"/>
      <c r="Q567" s="91"/>
      <c r="AI567" s="47"/>
    </row>
    <row r="568" spans="1:72" ht="15.6" x14ac:dyDescent="0.3">
      <c r="M568" s="160"/>
      <c r="Q568" s="91"/>
      <c r="AI568" s="47"/>
    </row>
    <row r="569" spans="1:72" ht="15.6" x14ac:dyDescent="0.3">
      <c r="M569" s="160"/>
      <c r="Q569" s="91"/>
      <c r="AI569" s="47"/>
    </row>
    <row r="570" spans="1:72" ht="15.6" x14ac:dyDescent="0.3">
      <c r="M570" s="160"/>
      <c r="Q570" s="91"/>
      <c r="AI570" s="47"/>
    </row>
    <row r="571" spans="1:72" ht="15.6" x14ac:dyDescent="0.3">
      <c r="M571" s="160"/>
      <c r="Q571" s="91"/>
      <c r="AI571" s="47"/>
    </row>
    <row r="572" spans="1:72" ht="15.6" x14ac:dyDescent="0.3">
      <c r="M572" s="160"/>
      <c r="Q572" s="91"/>
      <c r="AI572" s="47"/>
    </row>
    <row r="573" spans="1:72" ht="15.6" x14ac:dyDescent="0.3">
      <c r="M573" s="160"/>
      <c r="Q573" s="91"/>
      <c r="AI573" s="47"/>
    </row>
    <row r="574" spans="1:72" ht="15.6" x14ac:dyDescent="0.3">
      <c r="M574" s="160"/>
      <c r="Q574" s="91"/>
      <c r="AI574" s="47"/>
    </row>
    <row r="575" spans="1:72" ht="15.6" x14ac:dyDescent="0.3">
      <c r="M575" s="160"/>
      <c r="Q575" s="91"/>
      <c r="AI575" s="47"/>
    </row>
    <row r="576" spans="1:72" ht="15.6" x14ac:dyDescent="0.3">
      <c r="M576" s="160"/>
      <c r="Q576" s="91"/>
      <c r="AI576" s="47"/>
    </row>
    <row r="577" spans="13:35" ht="15.6" x14ac:dyDescent="0.3">
      <c r="M577" s="160"/>
      <c r="Q577" s="91"/>
      <c r="AI577" s="47"/>
    </row>
    <row r="578" spans="13:35" ht="15.6" x14ac:dyDescent="0.3">
      <c r="M578" s="160"/>
      <c r="Q578" s="91"/>
      <c r="AI578" s="47"/>
    </row>
    <row r="579" spans="13:35" ht="15.6" x14ac:dyDescent="0.3">
      <c r="M579" s="160"/>
      <c r="Q579" s="91"/>
      <c r="AI579" s="47"/>
    </row>
    <row r="580" spans="13:35" ht="15.6" x14ac:dyDescent="0.3">
      <c r="M580" s="160"/>
      <c r="Q580" s="91"/>
    </row>
    <row r="581" spans="13:35" ht="15.6" x14ac:dyDescent="0.3">
      <c r="M581" s="160"/>
      <c r="Q581" s="91"/>
    </row>
    <row r="582" spans="13:35" ht="15.6" x14ac:dyDescent="0.3">
      <c r="M582" s="160"/>
      <c r="Q582" s="91"/>
    </row>
    <row r="583" spans="13:35" ht="15.6" x14ac:dyDescent="0.3">
      <c r="M583" s="160"/>
      <c r="Q583" s="91"/>
    </row>
    <row r="584" spans="13:35" ht="15.6" x14ac:dyDescent="0.3">
      <c r="M584" s="160"/>
      <c r="Q584" s="91"/>
    </row>
    <row r="585" spans="13:35" ht="15.6" x14ac:dyDescent="0.3">
      <c r="M585" s="160"/>
      <c r="Q585" s="91"/>
    </row>
    <row r="586" spans="13:35" ht="15.6" x14ac:dyDescent="0.3">
      <c r="M586" s="160"/>
      <c r="Q586" s="91"/>
    </row>
    <row r="587" spans="13:35" ht="15.6" x14ac:dyDescent="0.3">
      <c r="M587" s="160"/>
      <c r="Q587" s="91"/>
    </row>
    <row r="588" spans="13:35" ht="15.6" x14ac:dyDescent="0.3">
      <c r="M588" s="160"/>
      <c r="Q588" s="91"/>
    </row>
    <row r="589" spans="13:35" ht="15.6" x14ac:dyDescent="0.3">
      <c r="M589" s="160"/>
      <c r="Q589" s="91"/>
    </row>
    <row r="590" spans="13:35" ht="15.6" x14ac:dyDescent="0.3">
      <c r="M590" s="160"/>
      <c r="Q590" s="91"/>
    </row>
    <row r="591" spans="13:35" ht="15.6" x14ac:dyDescent="0.3">
      <c r="M591" s="160"/>
      <c r="Q591" s="91"/>
    </row>
  </sheetData>
  <phoneticPr fontId="0" type="noConversion"/>
  <dataValidations count="11">
    <dataValidation type="list" allowBlank="1" showInputMessage="1" showErrorMessage="1" sqref="L487 L493 L496:L497 L489:L491 N493 E493 N489:N491 M512:M518 M500:M509 L500:L511 E496:E497 N487 N496:N497 E487 E489:E491 N500:N532 M520:M534 M537:M557" xr:uid="{00000000-0002-0000-0000-000000000000}">
      <formula1>#REF!</formula1>
    </dataValidation>
    <dataValidation type="list" allowBlank="1" showInputMessage="1" showErrorMessage="1" sqref="N525:N526 N73:N74" xr:uid="{00000000-0002-0000-0000-000001000000}">
      <formula1>$J$526:$J$526</formula1>
    </dataValidation>
    <dataValidation type="list" allowBlank="1" showInputMessage="1" showErrorMessage="1" sqref="M525 M74" xr:uid="{00000000-0002-0000-0000-000002000000}">
      <formula1>$K$526:$K$526</formula1>
    </dataValidation>
    <dataValidation type="list" allowBlank="1" showInputMessage="1" showErrorMessage="1" sqref="N60 N42 N58" xr:uid="{00000000-0002-0000-0000-000003000000}">
      <formula1>$G$61:$G$62</formula1>
    </dataValidation>
    <dataValidation type="list" allowBlank="1" showInputMessage="1" showErrorMessage="1" sqref="N60 N42 N58" xr:uid="{00000000-0002-0000-0000-000004000000}">
      <formula1>$G$61:$G$61</formula1>
    </dataValidation>
    <dataValidation type="list" allowBlank="1" showInputMessage="1" showErrorMessage="1" sqref="N535:N557" xr:uid="{00000000-0002-0000-0000-000005000000}">
      <formula1>$E$60:$E$61</formula1>
    </dataValidation>
    <dataValidation type="list" allowBlank="1" showInputMessage="1" showErrorMessage="1" sqref="N535:N557" xr:uid="{00000000-0002-0000-0000-000006000000}">
      <formula1>$E$60:$E$60</formula1>
    </dataValidation>
    <dataValidation type="list" allowBlank="1" showInputMessage="1" showErrorMessage="1" sqref="M535:M536" xr:uid="{00000000-0002-0000-0000-000007000000}">
      <formula1>$F$60:$F$61</formula1>
    </dataValidation>
    <dataValidation type="list" allowBlank="1" showInputMessage="1" showErrorMessage="1" sqref="M519" xr:uid="{00000000-0002-0000-0000-000008000000}">
      <formula1>$M$79:$M$93</formula1>
    </dataValidation>
    <dataValidation type="list" allowBlank="1" showInputMessage="1" showErrorMessage="1" sqref="N559:N563 N15:N21" xr:uid="{57C8D8B3-B88C-44AC-9B31-622597D847CD}">
      <formula1>"Family,Senior"</formula1>
    </dataValidation>
    <dataValidation type="list" allowBlank="1" showInputMessage="1" showErrorMessage="1" sqref="BF559:BF563 BF15:BF21" xr:uid="{10D56D26-07B4-4537-898E-D1F82288297C}">
      <formula1>"20/50,40/60,Ave Inc"</formula1>
    </dataValidation>
  </dataValidations>
  <hyperlinks>
    <hyperlink ref="AI514" r:id="rId1" xr:uid="{00000000-0004-0000-0000-000000000000}"/>
    <hyperlink ref="AI85" r:id="rId2" xr:uid="{00000000-0004-0000-0000-000001000000}"/>
    <hyperlink ref="AI516" r:id="rId3" xr:uid="{00000000-0004-0000-0000-000002000000}"/>
    <hyperlink ref="AI515" r:id="rId4" xr:uid="{00000000-0004-0000-0000-000003000000}"/>
    <hyperlink ref="AI517" r:id="rId5" xr:uid="{00000000-0004-0000-0000-000004000000}"/>
    <hyperlink ref="AI512" r:id="rId6" display="mailto:taylorh@syringaproperties.com" xr:uid="{00000000-0004-0000-0000-000005000000}"/>
    <hyperlink ref="AI79" r:id="rId7" display="mailto:heather@homeword.org" xr:uid="{00000000-0004-0000-0000-000006000000}"/>
    <hyperlink ref="AI518" r:id="rId8" xr:uid="{00000000-0004-0000-0000-000007000000}"/>
    <hyperlink ref="AI519" r:id="rId9" display="mailto:nfortier@nwgf.org" xr:uid="{00000000-0004-0000-0000-000008000000}"/>
    <hyperlink ref="AI520" r:id="rId10" display="mailto:Rusty@SummitHousingGroup.com" xr:uid="{00000000-0004-0000-0000-000009000000}"/>
    <hyperlink ref="AI521" r:id="rId11" xr:uid="{00000000-0004-0000-0000-00000A000000}"/>
    <hyperlink ref="AI511" r:id="rId12" xr:uid="{00000000-0004-0000-0000-00000B000000}"/>
    <hyperlink ref="AI513" r:id="rId13" xr:uid="{00000000-0004-0000-0000-00000C000000}"/>
    <hyperlink ref="AI82" r:id="rId14" xr:uid="{00000000-0004-0000-0000-00000D000000}"/>
    <hyperlink ref="AI522" r:id="rId15" xr:uid="{00000000-0004-0000-0000-00000E000000}"/>
    <hyperlink ref="AI83" r:id="rId16" xr:uid="{00000000-0004-0000-0000-00000F000000}"/>
    <hyperlink ref="AI538" r:id="rId17" xr:uid="{00000000-0004-0000-0000-000010000000}"/>
    <hyperlink ref="AI541" r:id="rId18" xr:uid="{00000000-0004-0000-0000-000011000000}"/>
    <hyperlink ref="AI536" r:id="rId19" xr:uid="{00000000-0004-0000-0000-000012000000}"/>
    <hyperlink ref="AI539" r:id="rId20" xr:uid="{00000000-0004-0000-0000-000013000000}"/>
    <hyperlink ref="AI534" r:id="rId21" xr:uid="{00000000-0004-0000-0000-000014000000}"/>
    <hyperlink ref="AI535" r:id="rId22" xr:uid="{00000000-0004-0000-0000-000015000000}"/>
    <hyperlink ref="AI533" r:id="rId23" xr:uid="{00000000-0004-0000-0000-000016000000}"/>
    <hyperlink ref="AI537" r:id="rId24" xr:uid="{00000000-0004-0000-0000-000017000000}"/>
    <hyperlink ref="AI540" r:id="rId25" xr:uid="{00000000-0004-0000-0000-000018000000}"/>
    <hyperlink ref="AI58" r:id="rId26" xr:uid="{00000000-0004-0000-0000-000019000000}"/>
    <hyperlink ref="AI67" r:id="rId27" xr:uid="{00000000-0004-0000-0000-00001A000000}"/>
    <hyperlink ref="AI61" r:id="rId28" xr:uid="{00000000-0004-0000-0000-00001B000000}"/>
    <hyperlink ref="AI60" r:id="rId29" xr:uid="{00000000-0004-0000-0000-00001C000000}"/>
    <hyperlink ref="AI25" r:id="rId30" xr:uid="{00000000-0004-0000-0000-00001D000000}"/>
    <hyperlink ref="AI71" r:id="rId31" xr:uid="{00000000-0004-0000-0000-00001E000000}"/>
    <hyperlink ref="AI68" r:id="rId32" xr:uid="{00000000-0004-0000-0000-00001F000000}"/>
    <hyperlink ref="AI80" r:id="rId33" xr:uid="{00000000-0004-0000-0000-000020000000}"/>
    <hyperlink ref="AI546" r:id="rId34" xr:uid="{4175411C-03FB-4BF0-ADE2-3F2A2A7FA7B8}"/>
    <hyperlink ref="AI547" r:id="rId35" xr:uid="{D63531F8-CFEF-42EB-ADC3-54430294522D}"/>
    <hyperlink ref="AI543" r:id="rId36" xr:uid="{4923B44A-3BEF-44E9-AC91-3929CB7CEBC1}"/>
    <hyperlink ref="AI542" r:id="rId37" xr:uid="{B9324435-B076-4F34-9887-FF8FA4C00D52}"/>
    <hyperlink ref="AI545" r:id="rId38" xr:uid="{49F73574-A255-4CA5-943D-75B77B7ACB32}"/>
    <hyperlink ref="AI53" r:id="rId39" xr:uid="{E187533B-726C-4290-8F37-316F2B347C47}"/>
    <hyperlink ref="AI52" r:id="rId40" xr:uid="{C542A66F-CDF6-4A0A-9F52-0E7F79528EFC}"/>
    <hyperlink ref="AI50" r:id="rId41" xr:uid="{93A25EF6-E884-4B91-95AC-B8B7B591D6C8}"/>
    <hyperlink ref="AI51" r:id="rId42" xr:uid="{5E343E9E-93F3-4524-B987-FD25F6F00612}"/>
    <hyperlink ref="AI40" r:id="rId43" xr:uid="{2C65B223-3105-43D9-B79D-EFED590775E2}"/>
    <hyperlink ref="AI45" r:id="rId44" xr:uid="{29B08A38-7B03-4C63-8E58-AEE342ADF9E4}"/>
    <hyperlink ref="AI548" r:id="rId45" xr:uid="{0623B873-611B-4EAE-8C47-862F22D883E1}"/>
    <hyperlink ref="AI549" r:id="rId46" xr:uid="{3DE53318-84A6-426E-AA67-A5C7FC6FB6C6}"/>
    <hyperlink ref="AI46" r:id="rId47" xr:uid="{DABA41E4-B4FA-4773-A9EF-5A3676FE2FE1}"/>
    <hyperlink ref="AI44" r:id="rId48" xr:uid="{8C92FEDE-4688-4CAE-BB48-6BC9B86AFF5B}"/>
    <hyperlink ref="AI42" r:id="rId49" xr:uid="{7AB60EF1-5F95-4ADD-AE24-10261CFEF471}"/>
    <hyperlink ref="AI43" r:id="rId50" xr:uid="{0E80A665-9EF2-48BE-AFDA-352CB9335577}"/>
    <hyperlink ref="AI49" r:id="rId51" xr:uid="{BA908EB8-54E8-41F8-9762-10E6CF198944}"/>
    <hyperlink ref="AI39" r:id="rId52" xr:uid="{6877EDA3-D4E4-4450-A91C-DED3C1D28C22}"/>
    <hyperlink ref="AI552" r:id="rId53" xr:uid="{09DAAA95-8FF4-4729-A9B3-FA99EEEC4AE8}"/>
    <hyperlink ref="AI35" r:id="rId54" xr:uid="{05B99E33-4AEC-433E-8BD9-C539FC11C46E}"/>
    <hyperlink ref="AI34" r:id="rId55" xr:uid="{1C3708D3-4756-4C2A-98ED-23A6EA5C161B}"/>
    <hyperlink ref="AI555" r:id="rId56" xr:uid="{39AB2DBB-572A-455F-AC3A-20D623BDAA74}"/>
    <hyperlink ref="AI551" r:id="rId57" xr:uid="{9E4D54C5-265E-4C28-859B-B56D6FCE3017}"/>
    <hyperlink ref="AI556" r:id="rId58" xr:uid="{2810FC96-431E-41B6-B0A9-71BE0BE4D22D}"/>
    <hyperlink ref="AI33" r:id="rId59" xr:uid="{99017E53-5D39-4CD5-8A0C-AA4996A357C5}"/>
    <hyperlink ref="AI558" r:id="rId60" xr:uid="{2C98E2B3-D2AB-4CBD-B065-CDC6656199B3}"/>
    <hyperlink ref="AR34" r:id="rId61" xr:uid="{EDC05B53-794D-4AC9-9C58-2A12753283EE}"/>
    <hyperlink ref="AR33" r:id="rId62" xr:uid="{95B2956D-F6FD-4CA4-9151-0DBCF71DE4EF}"/>
    <hyperlink ref="AR35" r:id="rId63" xr:uid="{FD196970-B188-46A5-AC03-09478E9DFE48}"/>
    <hyperlink ref="AR558" r:id="rId64" xr:uid="{89C9F4C9-A5D8-46FA-9778-71CCEACB454B}"/>
    <hyperlink ref="AR38" r:id="rId65" xr:uid="{15DC9EAD-D2E1-486E-8FD3-E38CE7A256EE}"/>
    <hyperlink ref="AI32" r:id="rId66" xr:uid="{0A2BD74F-686B-4B56-8A0E-9FB67BE83BC0}"/>
    <hyperlink ref="AI31" r:id="rId67" xr:uid="{6A1A08A3-A6B7-4131-9439-9F280A738261}"/>
    <hyperlink ref="AR31" r:id="rId68" xr:uid="{F36B3D93-1194-4C11-A804-8AE39E3BFF09}"/>
    <hyperlink ref="AI28" r:id="rId69" xr:uid="{C74C40A9-CC61-4791-AE69-C4417AF23CE7}"/>
    <hyperlink ref="AR28" r:id="rId70" xr:uid="{1BC12181-1EA3-41DE-BA27-7F1389CA4F13}"/>
    <hyperlink ref="AI16" r:id="rId71" xr:uid="{B6B92C2A-8E31-4B68-8EB3-32C31763BB10}"/>
    <hyperlink ref="AI559" r:id="rId72" xr:uid="{30E14CA4-CDF4-4F7A-AFC7-F88FB8AB671E}"/>
    <hyperlink ref="AI562" r:id="rId73" xr:uid="{1DFC150C-1E21-462F-913D-8EEF720B29EE}"/>
    <hyperlink ref="AI18" r:id="rId74" xr:uid="{B5E93D5F-A4E4-4253-8B1D-624EB9DDD64D}"/>
    <hyperlink ref="AI560" r:id="rId75" xr:uid="{639753E1-7DE9-4000-97BD-06C0EAB2B1B1}"/>
    <hyperlink ref="AI13" r:id="rId76" xr:uid="{09743CDF-42E2-48CA-8304-6DFA22D696B6}"/>
    <hyperlink ref="AI26" r:id="rId77" xr:uid="{24F91217-0BC0-4B0A-9EBA-307C0AEA3FED}"/>
    <hyperlink ref="AI27" r:id="rId78" xr:uid="{EC68D5A1-C897-4C29-A938-309BE898822B}"/>
    <hyperlink ref="AI15" r:id="rId79" xr:uid="{5825430F-57A2-4122-AD94-48B7DD353EA0}"/>
    <hyperlink ref="AR15" r:id="rId80" xr:uid="{84376E89-1F63-4D32-B837-A6B1ED0288B8}"/>
    <hyperlink ref="AR560" r:id="rId81" xr:uid="{97B3BD86-0CB4-4B26-9BF1-C236A9A1F045}"/>
    <hyperlink ref="AI17" r:id="rId82" xr:uid="{AA11B740-4F69-4CC3-BC81-1DE0D34F06C5}"/>
    <hyperlink ref="AR18" r:id="rId83" xr:uid="{53FA9E54-4513-44E3-AE10-49C297378F1F}"/>
    <hyperlink ref="AI19" r:id="rId84" xr:uid="{BFE49B89-7ACB-4C08-8506-029CC464D77D}"/>
    <hyperlink ref="AR19" r:id="rId85" xr:uid="{C8C65966-6C63-4FCF-9B42-4B2D79951E64}"/>
    <hyperlink ref="AR20" r:id="rId86" xr:uid="{A70C8CB8-5748-4977-A402-2098BA48525A}"/>
    <hyperlink ref="AR562" r:id="rId87" xr:uid="{7EE799C6-B6EE-4349-BFEC-9201870016DB}"/>
    <hyperlink ref="AI21" r:id="rId88" xr:uid="{A6A2070B-1BF3-47AA-A165-53502799564C}"/>
    <hyperlink ref="AR21" r:id="rId89" xr:uid="{2B511514-9E30-458F-BABC-D8E011890AAE}"/>
    <hyperlink ref="AI24" r:id="rId90" xr:uid="{B970F208-BEAB-4C73-A6A6-AC2E0E7BEA9C}"/>
    <hyperlink ref="AI23" r:id="rId91" xr:uid="{422C1385-7595-4457-AFE1-11B3F8678E4B}"/>
    <hyperlink ref="AR26" r:id="rId92" xr:uid="{B950A9BE-11A1-4DEF-873A-0D47DCAD23AD}"/>
    <hyperlink ref="AI14" r:id="rId93" xr:uid="{BAA67845-8DAD-4512-A9E3-77DCE2316F79}"/>
    <hyperlink ref="AR14" r:id="rId94" xr:uid="{380BFC22-4049-41FD-B231-935B5AA385F4}"/>
    <hyperlink ref="AI22" r:id="rId95" xr:uid="{1CD0E075-0B4B-4444-ADFB-00E06047346B}"/>
    <hyperlink ref="AI29:AI30" r:id="rId96" display="kbuckland@cpp-housing.com" xr:uid="{4CA18930-05A9-4D62-9ADA-8763E71096DF}"/>
    <hyperlink ref="AR29:AR30" r:id="rId97" display="commision@greatfallmt.net" xr:uid="{572817B9-986C-49FA-88B7-4479711B4C10}"/>
    <hyperlink ref="H102" r:id="rId98" display="https://www.bing.com/search?q=gateway+vista+billings+mt&amp;qs=UT&amp;pq=gateway+vista+bill&amp;sc=8-18&amp;cvid=4C8D71BACF1E4FD08FDD8C9BA32FB996&amp;FORM=QBRE&amp;sp=1&amp;ghc=1&amp;lq=0" xr:uid="{04990F38-C136-4EAE-9480-5D93FA47FE61}"/>
    <hyperlink ref="I102" r:id="rId99" display="https://www.bing.com/search?q=gateway+vista+billings+mt&amp;qs=UT&amp;pq=gateway+vista+bill&amp;sc=8-18&amp;cvid=4C8D71BACF1E4FD08FDD8C9BA32FB996&amp;FORM=QBRE&amp;sp=1&amp;ghc=1&amp;lq=0" xr:uid="{5DE4E570-2B02-43E3-B6E1-514C67C6F45E}"/>
    <hyperlink ref="H94" r:id="rId100" display="https://www.bing.com/search?q=1525+North+14th+Ave+&amp;qs=n&amp;form=QBRE&amp;sp=-1&amp;lq=0&amp;pq=&amp;sc=17-0&amp;sk=&amp;cvid=62A91BECD34744518A60A73E4A8B8947&amp;ghsh=0&amp;ghacc=0&amp;ghpl=" xr:uid="{29040FD7-2DA5-4320-A23F-9CDA24AB1FF3}"/>
    <hyperlink ref="AI77" r:id="rId101" xr:uid="{CFF5B48C-6EBD-45EC-8339-4ACD5934FB3E}"/>
    <hyperlink ref="AI8" r:id="rId102" xr:uid="{EB632E5F-FCE7-4A83-8208-D5913E969DA9}"/>
    <hyperlink ref="AI10" r:id="rId103" xr:uid="{F6E652DF-E596-491E-899F-241A9CB27DAC}"/>
    <hyperlink ref="AR5" r:id="rId104" xr:uid="{A47650F4-8323-4CB7-A273-4AD75E87DCF7}"/>
    <hyperlink ref="AR6" r:id="rId105" xr:uid="{BCACC2FC-820A-42E7-BABB-B30E8376F14E}"/>
    <hyperlink ref="AR10" r:id="rId106" xr:uid="{E1088DB1-BB25-484A-929D-5AAB11DD66FD}"/>
    <hyperlink ref="AR7" r:id="rId107" xr:uid="{6D268844-5A4F-4709-A0D3-207FCC3EBD46}"/>
    <hyperlink ref="AR11" r:id="rId108" xr:uid="{4C43AD47-F6A1-4FD1-B599-7CA65B9FD791}"/>
    <hyperlink ref="AR8" r:id="rId109" xr:uid="{522642CF-3A19-458C-97AD-DDB9B01DF847}"/>
    <hyperlink ref="AI9" r:id="rId110" xr:uid="{C14D56A3-0B26-430F-9B2B-55FDD08FAFC3}"/>
    <hyperlink ref="AR9" r:id="rId111" xr:uid="{F4FE6C40-E75E-466A-81B5-BB53BDAC0101}"/>
    <hyperlink ref="AR4" r:id="rId112" xr:uid="{5F24B4F9-E40D-42E1-9DFB-94157E854ACA}"/>
    <hyperlink ref="AR12" r:id="rId113" xr:uid="{ED3D0A6E-9941-4CDF-AF06-B054C8E8D497}"/>
    <hyperlink ref="AI3" r:id="rId114" xr:uid="{44B5C174-E173-4177-9D18-D016496AA085}"/>
  </hyperlinks>
  <pageMargins left="0.25" right="0.25" top="0.5" bottom="0.5" header="0.5" footer="0.5"/>
  <pageSetup paperSize="5" scale="75" orientation="portrait" r:id="rId115"/>
  <headerFooter alignWithMargins="0">
    <oddFooter>&amp;C&amp;R&amp;P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HC All</vt:lpstr>
      <vt:lpstr>__UNITS_TC</vt:lpstr>
      <vt:lpstr>_1_BEDROOM</vt:lpstr>
      <vt:lpstr>_2_BEDROOM</vt:lpstr>
      <vt:lpstr>_3_BEDROOM</vt:lpstr>
      <vt:lpstr>_4_BEDROOM</vt:lpstr>
      <vt:lpstr>CITY__STATE</vt:lpstr>
      <vt:lpstr>COMPLIANCE_DB</vt:lpstr>
      <vt:lpstr>OWNER</vt:lpstr>
      <vt:lpstr>PHONE</vt:lpstr>
      <vt:lpstr>'HC All'!Print_Area</vt:lpstr>
      <vt:lpstr>'HC All'!Print_Titles_MI</vt:lpstr>
      <vt:lpstr>STREET</vt:lpstr>
      <vt:lpstr>UNIT_TYPE_STUDI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Brensdal</dc:creator>
  <cp:lastModifiedBy>Guariglia, Kellie</cp:lastModifiedBy>
  <cp:lastPrinted>2018-05-16T19:55:54Z</cp:lastPrinted>
  <dcterms:created xsi:type="dcterms:W3CDTF">1999-04-26T14:22:32Z</dcterms:created>
  <dcterms:modified xsi:type="dcterms:W3CDTF">2025-03-13T19:56:29Z</dcterms:modified>
</cp:coreProperties>
</file>